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<sst xmlns="http://schemas.openxmlformats.org/spreadsheetml/2006/main" count="168" uniqueCount="103">
  <si>
    <t xml:space="preserve">Relevés floristiques aquatiques - IBMR</t>
  </si>
  <si>
    <t xml:space="preserve">modèle Irstea-GIS</t>
  </si>
  <si>
    <t xml:space="preserve">SAGE</t>
  </si>
  <si>
    <t xml:space="preserve">C.BERNARD P.BELLY</t>
  </si>
  <si>
    <t xml:space="preserve">Saône</t>
  </si>
  <si>
    <t xml:space="preserve">Saône à St Symphorien d'Ancelle</t>
  </si>
  <si>
    <t xml:space="preserve">06810010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</si>
  <si>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</si>
  <si>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</si>
  <si>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</si>
  <si>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</si>
  <si>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</si>
  <si>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</si>
  <si>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</si>
  <si>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</si>
  <si>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</si>
  <si>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VALSPI</t>
  </si>
  <si>
    <t xml:space="preserve">Faciès dominant</t>
  </si>
  <si>
    <t xml:space="preserve">ch. lentique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</si>
  <si>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</si>
  <si>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</si>
  <si>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</si>
  <si>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</si>
  <si>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</si>
  <si>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</si>
  <si>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</si>
  <si>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</si>
  <si>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</si>
  <si>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</si>
  <si>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</si>
  <si>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</si>
  <si>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</si>
  <si>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</si>
  <si>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</si>
  <si>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</si>
  <si>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</si>
  <si>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</si>
  <si>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</si>
  <si>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</si>
  <si>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</si>
  <si>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</si>
  <si>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</si>
  <si>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</si>
  <si>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</si>
  <si>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</si>
  <si>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</si>
  <si>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</si>
  <si>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</si>
  <si>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</si>
  <si>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</si>
  <si>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</si>
  <si>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</si>
  <si>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</si>
  <si>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</si>
  <si>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</si>
  <si>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</si>
  <si>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</si>
  <si>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</si>
  <si>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</si>
  <si>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</si>
  <si>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</si>
  <si>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</si>
  <si>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</si>
  <si>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</si>
  <si>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</si>
  <si>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</si>
  <si>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</si>
  <si>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</si>
  <si>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</si>
  <si>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</si>
  <si>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</si>
  <si>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</si>
  <si>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</si>
  <si>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</si>
  <si>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</si>
  <si>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</si>
  <si>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</si>
  <si>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</si>
  <si>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</si>
  <si>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OEDSPX</t>
  </si>
  <si>
    <t xml:space="preserve">PHOSPX</t>
  </si>
  <si>
    <t xml:space="preserve">CINFON</t>
  </si>
  <si>
    <t xml:space="preserve">FISFON</t>
  </si>
  <si>
    <t xml:space="preserve">LEORIP</t>
  </si>
  <si>
    <t xml:space="preserve">CERDEM</t>
  </si>
  <si>
    <t xml:space="preserve">MYRSPI</t>
  </si>
  <si>
    <t xml:space="preserve">MYRVER</t>
  </si>
  <si>
    <t xml:space="preserve">NUPLUT</t>
  </si>
  <si>
    <t xml:space="preserve">POTNOD</t>
  </si>
  <si>
    <t xml:space="preserve">POTPEC</t>
  </si>
  <si>
    <t xml:space="preserve">POTPER</t>
  </si>
  <si>
    <t xml:space="preserve">PHAARU</t>
  </si>
  <si>
    <t xml:space="preserve">PHRAUS</t>
  </si>
  <si>
    <t xml:space="preserve">IRISPX</t>
  </si>
  <si>
    <t xml:space="preserve">MENSPX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</si>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</sst>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ASYM_30-09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42277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8.03921568627451</v>
      </c>
      <c r="N5" s="51"/>
      <c r="O5" s="52" t="s">
        <v>16</v>
      </c>
      <c r="P5" s="53" t="n">
        <v>8.04651162790698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1</v>
      </c>
      <c r="P6" s="65" t="s">
        <v>20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21</v>
      </c>
      <c r="B7" s="68" t="n">
        <v>100</v>
      </c>
      <c r="C7" s="69"/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22</v>
      </c>
      <c r="P7" s="78" t="s">
        <v>23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24</v>
      </c>
      <c r="B8" s="43"/>
      <c r="C8" s="43"/>
      <c r="D8" s="57"/>
      <c r="E8" s="57"/>
      <c r="F8" s="80" t="s">
        <v>25</v>
      </c>
      <c r="G8" s="81"/>
      <c r="H8" s="57"/>
      <c r="I8" s="8"/>
      <c r="J8" s="72"/>
      <c r="K8" s="73"/>
      <c r="L8" s="74"/>
      <c r="M8" s="75"/>
      <c r="N8" s="82" t="s">
        <v>26</v>
      </c>
      <c r="O8" s="83" t="n">
        <f aca="false">IF(ISERROR(AVERAGE(J23:J82))," ",AVERAGE(J23:J82))</f>
        <v>7.8125</v>
      </c>
      <c r="P8" s="83" t="n">
        <f aca="false">IF(ISERROR(AVERAGE(K23:K82)),"  ",AVERAGE(K23:K82))</f>
        <v>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27</v>
      </c>
      <c r="B9" s="85" t="n">
        <v>21.48</v>
      </c>
      <c r="C9" s="86"/>
      <c r="D9" s="87"/>
      <c r="E9" s="87"/>
      <c r="F9" s="88" t="n">
        <f aca="false">($B9*$B$7+$C9*$C$7)/100</f>
        <v>21.48</v>
      </c>
      <c r="G9" s="89"/>
      <c r="H9" s="44"/>
      <c r="I9" s="8"/>
      <c r="J9" s="90"/>
      <c r="K9" s="91"/>
      <c r="L9" s="74"/>
      <c r="M9" s="92"/>
      <c r="N9" s="82" t="s">
        <v>28</v>
      </c>
      <c r="O9" s="83" t="n">
        <f aca="false">IF(ISERROR(STDEVP(J23:J82))," ",STDEVP(J23:J82))</f>
        <v>2.98367956557</v>
      </c>
      <c r="P9" s="83" t="n">
        <f aca="false">IF(ISERROR(STDEVP(K23:K82)),"  ",STDEVP(K23:K82))</f>
        <v>0.612372435695795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29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30</v>
      </c>
      <c r="L10" s="97"/>
      <c r="M10" s="98"/>
      <c r="N10" s="82" t="s">
        <v>31</v>
      </c>
      <c r="O10" s="99" t="n">
        <f aca="false">MIN(J23:J82)</f>
        <v>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32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33</v>
      </c>
      <c r="K11" s="106"/>
      <c r="L11" s="107" t="n">
        <f aca="false">COUNTIF($G$23:$G$82,"=HET")</f>
        <v>0</v>
      </c>
      <c r="M11" s="108"/>
      <c r="N11" s="82" t="s">
        <v>34</v>
      </c>
      <c r="O11" s="99" t="n">
        <f aca="false">MAX(J23:J82)</f>
        <v>13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35</v>
      </c>
      <c r="B12" s="110" t="n">
        <v>0.03</v>
      </c>
      <c r="C12" s="111"/>
      <c r="D12" s="87"/>
      <c r="E12" s="87"/>
      <c r="F12" s="104" t="n">
        <f aca="false">($B12*$B$7+$C12*$C$7)/100</f>
        <v>0.03</v>
      </c>
      <c r="G12" s="105"/>
      <c r="H12" s="57"/>
      <c r="I12" s="8"/>
      <c r="J12" s="106" t="s">
        <v>36</v>
      </c>
      <c r="K12" s="106"/>
      <c r="L12" s="107" t="n">
        <f aca="false">COUNTIF($G$23:$G$82,"=ALG")</f>
        <v>3</v>
      </c>
      <c r="M12" s="108"/>
      <c r="N12" s="112"/>
      <c r="O12" s="113" t="s">
        <v>30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37</v>
      </c>
      <c r="B13" s="110" t="n">
        <v>0.02</v>
      </c>
      <c r="C13" s="111"/>
      <c r="D13" s="87"/>
      <c r="E13" s="87"/>
      <c r="F13" s="104" t="n">
        <f aca="false">($B13*$B$7+$C13*$C$7)/100</f>
        <v>0.02</v>
      </c>
      <c r="G13" s="105"/>
      <c r="H13" s="57"/>
      <c r="I13" s="8"/>
      <c r="J13" s="106" t="s">
        <v>38</v>
      </c>
      <c r="K13" s="106"/>
      <c r="L13" s="107" t="n">
        <f aca="false">COUNTIF($G$23:$G$82,"=BRm")+COUNTIF($G$23:$G$82,"=BRh")</f>
        <v>3</v>
      </c>
      <c r="M13" s="108"/>
      <c r="N13" s="116" t="s">
        <v>39</v>
      </c>
      <c r="O13" s="117" t="n">
        <f aca="false">COUNTIF(F23:F82,"&gt;0")</f>
        <v>18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40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41</v>
      </c>
      <c r="K14" s="106"/>
      <c r="L14" s="107" t="n">
        <f aca="false">COUNTIF($G$23:$G$82,"=PTE")+COUNTIF($G$23:$G$82,"=LIC")</f>
        <v>0</v>
      </c>
      <c r="M14" s="108"/>
      <c r="N14" s="119" t="s">
        <v>42</v>
      </c>
      <c r="O14" s="120" t="n">
        <f aca="false">COUNTIF($J$23:$J$82,"&gt;-1")</f>
        <v>16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43</v>
      </c>
      <c r="B15" s="123" t="n">
        <v>21.42</v>
      </c>
      <c r="C15" s="124"/>
      <c r="D15" s="87"/>
      <c r="E15" s="87"/>
      <c r="F15" s="104" t="n">
        <f aca="false">($B15*$B$7+$C15*$C$7)/100</f>
        <v>21.42</v>
      </c>
      <c r="G15" s="105"/>
      <c r="H15" s="57"/>
      <c r="I15" s="8"/>
      <c r="J15" s="106" t="s">
        <v>44</v>
      </c>
      <c r="K15" s="106"/>
      <c r="L15" s="107" t="n">
        <f aca="false">(COUNTIF($G$23:$G$82,"=PHy"))+(COUNTIF($G$23:$G$82,"=PHe"))+(COUNTIF($G$23:$G$82,"=PHg"))+(COUNTIF($G$23:$G$82,"=PHx"))</f>
        <v>12</v>
      </c>
      <c r="M15" s="108"/>
      <c r="N15" s="116" t="s">
        <v>45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46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47</v>
      </c>
      <c r="O16" s="117" t="n">
        <f aca="false">COUNTIF(K23:K82,"=2")</f>
        <v>10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48</v>
      </c>
      <c r="B17" s="110" t="n">
        <v>21.37</v>
      </c>
      <c r="C17" s="111"/>
      <c r="D17" s="87"/>
      <c r="E17" s="87"/>
      <c r="F17" s="129"/>
      <c r="G17" s="130" t="n">
        <f aca="false">($B17*$B$7+$C17*$C$7)/100</f>
        <v>21.37</v>
      </c>
      <c r="H17" s="57"/>
      <c r="I17" s="8"/>
      <c r="J17" s="131"/>
      <c r="K17" s="132"/>
      <c r="L17" s="133" t="s">
        <v>49</v>
      </c>
      <c r="M17" s="134" t="n">
        <f aca="false">IF(ISERROR((O13-(COUNTIF(J23:J82,"nc")))/O13),"-",(O13-(COUNTIF(J23:J82,"nc")))/O13)</f>
        <v>0.888888888888889</v>
      </c>
      <c r="N17" s="116" t="s">
        <v>50</v>
      </c>
      <c r="O17" s="117" t="n">
        <f aca="false">COUNTIF(K23:K82,"=3")</f>
        <v>3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51</v>
      </c>
      <c r="B18" s="137" t="n">
        <v>0.11</v>
      </c>
      <c r="C18" s="138"/>
      <c r="D18" s="87"/>
      <c r="E18" s="139" t="s">
        <v>52</v>
      </c>
      <c r="F18" s="129"/>
      <c r="G18" s="130" t="n">
        <f aca="false">($B18*$B$7+$C18*$C$7)/100</f>
        <v>0.11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21.47</v>
      </c>
      <c r="G19" s="150" t="n">
        <f aca="false">SUM(G16:G18)</f>
        <v>21.48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53</v>
      </c>
      <c r="B20" s="159" t="n">
        <f aca="false">SUM(B23:B62)</f>
        <v>21.4803</v>
      </c>
      <c r="C20" s="160" t="n">
        <f aca="false">SUM(C23:C62)</f>
        <v>0</v>
      </c>
      <c r="D20" s="161"/>
      <c r="E20" s="162" t="s">
        <v>52</v>
      </c>
      <c r="F20" s="163" t="n">
        <f aca="false">($B20*$B$7+$C20*$C$7)/100</f>
        <v>21.4803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54</v>
      </c>
      <c r="B21" s="171" t="n">
        <f aca="false">B20*B7/100</f>
        <v>21.4803</v>
      </c>
      <c r="C21" s="171" t="n">
        <f aca="false">C20*C7/100</f>
        <v>0</v>
      </c>
      <c r="D21" s="172" t="s">
        <v>55</v>
      </c>
      <c r="E21" s="173"/>
      <c r="F21" s="174" t="n">
        <f aca="false">B21+C21</f>
        <v>21.4803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56</v>
      </c>
    </row>
    <row r="22" customFormat="false" ht="12.75" hidden="false" customHeight="false" outlineLevel="0" collapsed="false">
      <c r="A22" s="183" t="s">
        <v>57</v>
      </c>
      <c r="B22" s="184" t="s">
        <v>58</v>
      </c>
      <c r="C22" s="184" t="s">
        <v>58</v>
      </c>
      <c r="D22" s="185"/>
      <c r="E22" s="186"/>
      <c r="F22" s="187" t="s">
        <v>59</v>
      </c>
      <c r="G22" s="188" t="s">
        <v>60</v>
      </c>
      <c r="H22" s="87" t="s">
        <v>61</v>
      </c>
      <c r="I22" s="8" t="s">
        <v>62</v>
      </c>
      <c r="J22" s="189" t="s">
        <v>63</v>
      </c>
      <c r="K22" s="189" t="s">
        <v>64</v>
      </c>
      <c r="L22" s="190" t="s">
        <v>65</v>
      </c>
      <c r="M22" s="190"/>
      <c r="N22" s="190"/>
      <c r="O22" s="190"/>
      <c r="P22" s="182" t="s">
        <v>66</v>
      </c>
      <c r="Q22" s="191" t="s">
        <v>67</v>
      </c>
      <c r="R22" s="192" t="s">
        <v>68</v>
      </c>
      <c r="S22" s="193" t="s">
        <v>69</v>
      </c>
      <c r="T22" s="194" t="s">
        <v>70</v>
      </c>
      <c r="U22" s="194" t="s">
        <v>71</v>
      </c>
      <c r="V22" s="195" t="s">
        <v>72</v>
      </c>
      <c r="W22" s="196" t="s">
        <v>73</v>
      </c>
      <c r="X22" s="196" t="s">
        <v>74</v>
      </c>
      <c r="Y22" s="197" t="s">
        <v>75</v>
      </c>
      <c r="Z22" s="197" t="s">
        <v>76</v>
      </c>
    </row>
    <row r="23" customFormat="false" ht="12.75" hidden="false" customHeight="false" outlineLevel="0" collapsed="false">
      <c r="A23" s="198" t="s">
        <v>77</v>
      </c>
      <c r="B23" s="199" t="n">
        <v>0.0196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0.0196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78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0.0196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79</v>
      </c>
      <c r="B24" s="217" t="n">
        <v>0.0049</v>
      </c>
      <c r="C24" s="200" t="n">
        <v>0</v>
      </c>
      <c r="D24" s="218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Oedogonium sp.</v>
      </c>
      <c r="E24" s="219" t="e">
        <f aca="false">IF(D24="",0,VLOOKUP(D24,D$22:D23,1,0))</f>
        <v>#N/A</v>
      </c>
      <c r="F24" s="220" t="n">
        <f aca="false">IF(AND(OR(A24="",A24="!!!!!!"),B24="",C24=""),"",IF(OR(AND(B24="",C24=""),ISERROR(C24+B24)),"!!!",($B24*$B$7+$C24*$C$7)/100))</f>
        <v>0.0049</v>
      </c>
      <c r="G24" s="221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2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3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3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Oedogonium sp.</v>
      </c>
      <c r="M24" s="224"/>
      <c r="N24" s="224"/>
      <c r="O24" s="224"/>
      <c r="P24" s="225" t="s">
        <v>78</v>
      </c>
      <c r="Q24" s="226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1134</v>
      </c>
      <c r="R24" s="211" t="n">
        <f aca="false">IF(ISTEXT(H24),"",(B24*$B$7/100)+(C24*$C$7/100))</f>
        <v>0.0049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6</v>
      </c>
      <c r="U24" s="212" t="n">
        <f aca="false">IF(ISERROR(S24*J24*K24),0,S24*J24*K24)</f>
        <v>12</v>
      </c>
      <c r="V24" s="227" t="n">
        <f aca="false">IF(ISERROR(S24*K24),0,S24*K24)</f>
        <v>2</v>
      </c>
      <c r="W24" s="228"/>
      <c r="X24" s="229"/>
      <c r="Y24" s="215" t="str">
        <f aca="false">IF(AND(ISNUMBER(F24),OR(A24="",A24="!!!!!!")),"!!!!!!",IF(A24="new.cod","NEWCOD",IF(AND((Z24=""),ISTEXT(A24),A24&lt;&gt;"!!!!!!"),A24,IF(Z24="","",INDEX('[1]liste reference'!$A$6:$A$1174,Z24)))))</f>
        <v>OEDSPX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85</v>
      </c>
    </row>
    <row r="25" customFormat="false" ht="12.75" hidden="false" customHeight="false" outlineLevel="0" collapsed="false">
      <c r="A25" s="216" t="s">
        <v>80</v>
      </c>
      <c r="B25" s="217" t="n">
        <v>0.0049</v>
      </c>
      <c r="C25" s="200" t="n">
        <v>0</v>
      </c>
      <c r="D25" s="218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Phormidium sp.</v>
      </c>
      <c r="E25" s="219" t="e">
        <f aca="false">IF(D25="",0,VLOOKUP(D25,D$22:D24,1,0))</f>
        <v>#N/A</v>
      </c>
      <c r="F25" s="220" t="n">
        <f aca="false">IF(AND(OR(A25="",A25="!!!!!!"),B25="",C25=""),"",IF(OR(AND(B25="",C25=""),ISERROR(C25+B25)),"!!!",($B25*$B$7+$C25*$C$7)/100))</f>
        <v>0.0049</v>
      </c>
      <c r="G25" s="221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2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3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3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Phormidium sp.</v>
      </c>
      <c r="M25" s="224"/>
      <c r="N25" s="224"/>
      <c r="O25" s="224"/>
      <c r="P25" s="225" t="s">
        <v>78</v>
      </c>
      <c r="Q25" s="226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6414</v>
      </c>
      <c r="R25" s="211" t="n">
        <f aca="false">IF(ISTEXT(H25),"",(B25*$B$7/100)+(C25*$C$7/100))</f>
        <v>0.0049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7" t="n">
        <f aca="false">IF(ISERROR(S25*K25),0,S25*K25)</f>
        <v>2</v>
      </c>
      <c r="W25" s="228"/>
      <c r="X25" s="229"/>
      <c r="Y25" s="215" t="str">
        <f aca="false">IF(AND(ISNUMBER(F25),OR(A25="",A25="!!!!!!")),"!!!!!!",IF(A25="new.cod","NEWCOD",IF(AND((Z25=""),ISTEXT(A25),A25&lt;&gt;"!!!!!!"),A25,IF(Z25="","",INDEX('[1]liste reference'!$A$6:$A$1174,Z25)))))</f>
        <v>PHOSPX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88</v>
      </c>
    </row>
    <row r="26" customFormat="false" ht="12.75" hidden="false" customHeight="false" outlineLevel="0" collapsed="false">
      <c r="A26" s="216" t="s">
        <v>81</v>
      </c>
      <c r="B26" s="217" t="n">
        <v>0.0049</v>
      </c>
      <c r="C26" s="200" t="n">
        <v>0</v>
      </c>
      <c r="D26" s="218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Cinclidotus fontinaloides</v>
      </c>
      <c r="E26" s="219" t="e">
        <f aca="false">IF(D26="",0,VLOOKUP(D26,D$22:D25,1,0))</f>
        <v>#N/A</v>
      </c>
      <c r="F26" s="220" t="n">
        <f aca="false">IF(AND(OR(A26="",A26="!!!!!!"),B26="",C26=""),"",IF(OR(AND(B26="",C26=""),ISERROR(C26+B26)),"!!!",($B26*$B$7+$C26*$C$7)/100))</f>
        <v>0.0049</v>
      </c>
      <c r="G26" s="221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2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3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3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Cinclidotus fontinaloides</v>
      </c>
      <c r="M26" s="224"/>
      <c r="N26" s="224"/>
      <c r="O26" s="224"/>
      <c r="P26" s="225" t="s">
        <v>78</v>
      </c>
      <c r="Q26" s="226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1320</v>
      </c>
      <c r="R26" s="211" t="n">
        <f aca="false">IF(ISTEXT(H26),"",(B26*$B$7/100)+(C26*$C$7/100))</f>
        <v>0.0049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7" t="n">
        <f aca="false">IF(ISERROR(S26*K26),0,S26*K26)</f>
        <v>2</v>
      </c>
      <c r="W26" s="228"/>
      <c r="X26" s="229"/>
      <c r="Y26" s="215" t="str">
        <f aca="false">IF(AND(ISNUMBER(F26),OR(A26="",A26="!!!!!!")),"!!!!!!",IF(A26="new.cod","NEWCOD",IF(AND((Z26=""),ISTEXT(A26),A26&lt;&gt;"!!!!!!"),A26,IF(Z26="","",INDEX('[1]liste reference'!$A$6:$A$1174,Z26)))))</f>
        <v>CINFON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223</v>
      </c>
    </row>
    <row r="27" customFormat="false" ht="12.75" hidden="false" customHeight="false" outlineLevel="0" collapsed="false">
      <c r="A27" s="216" t="s">
        <v>82</v>
      </c>
      <c r="B27" s="217" t="n">
        <v>0.0098</v>
      </c>
      <c r="C27" s="200" t="n">
        <v>0</v>
      </c>
      <c r="D27" s="218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Fissidens fontanus</v>
      </c>
      <c r="E27" s="219" t="e">
        <f aca="false">IF(D27="",0,VLOOKUP(D27,D$22:D26,1,0))</f>
        <v>#N/A</v>
      </c>
      <c r="F27" s="220" t="n">
        <f aca="false">IF(AND(OR(A27="",A27="!!!!!!"),B27="",C27=""),"",IF(OR(AND(B27="",C27=""),ISERROR(C27+B27)),"!!!",($B27*$B$7+$C27*$C$7)/100))</f>
        <v>0.0098</v>
      </c>
      <c r="G27" s="221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2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3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7</v>
      </c>
      <c r="K27" s="223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3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Fissidens fontanus</v>
      </c>
      <c r="M27" s="224"/>
      <c r="N27" s="224"/>
      <c r="O27" s="224"/>
      <c r="P27" s="225" t="s">
        <v>78</v>
      </c>
      <c r="Q27" s="226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31545</v>
      </c>
      <c r="R27" s="211" t="n">
        <f aca="false">IF(ISTEXT(H27),"",(B27*$B$7/100)+(C27*$C$7/100))</f>
        <v>0.0098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7</v>
      </c>
      <c r="U27" s="212" t="n">
        <f aca="false">IF(ISERROR(S27*J27*K27),0,S27*J27*K27)</f>
        <v>21</v>
      </c>
      <c r="V27" s="227" t="n">
        <f aca="false">IF(ISERROR(S27*K27),0,S27*K27)</f>
        <v>3</v>
      </c>
      <c r="W27" s="228"/>
      <c r="X27" s="229"/>
      <c r="Y27" s="215" t="str">
        <f aca="false">IF(AND(ISNUMBER(F27),OR(A27="",A27="!!!!!!")),"!!!!!!",IF(A27="new.cod","NEWCOD",IF(AND((Z27=""),ISTEXT(A27),A27&lt;&gt;"!!!!!!"),A27,IF(Z27="","",INDEX('[1]liste reference'!$A$6:$A$1174,Z27)))))</f>
        <v>FISFON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259</v>
      </c>
    </row>
    <row r="28" customFormat="false" ht="12.75" hidden="false" customHeight="false" outlineLevel="0" collapsed="false">
      <c r="A28" s="216" t="s">
        <v>83</v>
      </c>
      <c r="B28" s="217" t="n">
        <v>0.0098</v>
      </c>
      <c r="C28" s="200" t="n">
        <v>0</v>
      </c>
      <c r="D28" s="218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Leptodictyum riparium </v>
      </c>
      <c r="E28" s="219" t="e">
        <f aca="false">IF(D28="",0,VLOOKUP(D28,D$22:D27,1,0))</f>
        <v>#N/A</v>
      </c>
      <c r="F28" s="220" t="n">
        <f aca="false">IF(AND(OR(A28="",A28="!!!!!!"),B28="",C28=""),"",IF(OR(AND(B28="",C28=""),ISERROR(C28+B28)),"!!!",($B28*$B$7+$C28*$C$7)/100))</f>
        <v>0.0098</v>
      </c>
      <c r="G28" s="221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2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3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5</v>
      </c>
      <c r="K28" s="223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Leptodictyum riparium </v>
      </c>
      <c r="M28" s="224"/>
      <c r="N28" s="224"/>
      <c r="O28" s="224"/>
      <c r="P28" s="225" t="s">
        <v>78</v>
      </c>
      <c r="Q28" s="226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1244</v>
      </c>
      <c r="R28" s="211" t="n">
        <f aca="false">IF(ISTEXT(H28),"",(B28*$B$7/100)+(C28*$C$7/100))</f>
        <v>0.0098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5</v>
      </c>
      <c r="U28" s="212" t="n">
        <f aca="false">IF(ISERROR(S28*J28*K28),0,S28*J28*K28)</f>
        <v>10</v>
      </c>
      <c r="V28" s="227" t="n">
        <f aca="false">IF(ISERROR(S28*K28),0,S28*K28)</f>
        <v>2</v>
      </c>
      <c r="W28" s="228"/>
      <c r="X28" s="229"/>
      <c r="Y28" s="215" t="str">
        <f aca="false">IF(AND(ISNUMBER(F28),OR(A28="",A28="!!!!!!")),"!!!!!!",IF(A28="new.cod","NEWCOD",IF(AND((Z28=""),ISTEXT(A28),A28&lt;&gt;"!!!!!!"),A28,IF(Z28="","",INDEX('[1]liste reference'!$A$6:$A$1174,Z28)))))</f>
        <v>LEORIP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298</v>
      </c>
    </row>
    <row r="29" customFormat="false" ht="12.75" hidden="false" customHeight="false" outlineLevel="0" collapsed="false">
      <c r="A29" s="216" t="s">
        <v>84</v>
      </c>
      <c r="B29" s="217" t="n">
        <v>0.2549</v>
      </c>
      <c r="C29" s="200" t="n">
        <v>0</v>
      </c>
      <c r="D29" s="218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Ceratophyllum demersum</v>
      </c>
      <c r="E29" s="219" t="e">
        <f aca="false">IF(D29="",0,VLOOKUP(D29,D$22:D28,1,0))</f>
        <v>#N/A</v>
      </c>
      <c r="F29" s="220" t="n">
        <f aca="false">IF(AND(OR(A29="",A29="!!!!!!"),B29="",C29=""),"",IF(OR(AND(B29="",C29=""),ISERROR(C29+B29)),"!!!",($B29*$B$7+$C29*$C$7)/100))</f>
        <v>0.2549</v>
      </c>
      <c r="G29" s="221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PHy</v>
      </c>
      <c r="H29" s="222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7</v>
      </c>
      <c r="I29" s="8" t="n">
        <f aca="false">IF(A29="","",1)</f>
        <v>1</v>
      </c>
      <c r="J29" s="223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5</v>
      </c>
      <c r="K29" s="223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Ceratophyllum demersum</v>
      </c>
      <c r="M29" s="224"/>
      <c r="N29" s="224"/>
      <c r="O29" s="224"/>
      <c r="P29" s="225" t="s">
        <v>78</v>
      </c>
      <c r="Q29" s="226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1717</v>
      </c>
      <c r="R29" s="211" t="n">
        <f aca="false">IF(ISTEXT(H29),"",(B29*$B$7/100)+(C29*$C$7/100))</f>
        <v>0.2549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10</v>
      </c>
      <c r="U29" s="212" t="n">
        <f aca="false">IF(ISERROR(S29*J29*K29),0,S29*J29*K29)</f>
        <v>20</v>
      </c>
      <c r="V29" s="227" t="n">
        <f aca="false">IF(ISERROR(S29*K29),0,S29*K29)</f>
        <v>4</v>
      </c>
      <c r="W29" s="228"/>
      <c r="X29" s="229"/>
      <c r="Y29" s="215" t="str">
        <f aca="false">IF(AND(ISNUMBER(F29),OR(A29="",A29="!!!!!!")),"!!!!!!",IF(A29="new.cod","NEWCOD",IF(AND((Z29=""),ISTEXT(A29),A29&lt;&gt;"!!!!!!"),A29,IF(Z29="","",INDEX('[1]liste reference'!$A$6:$A$1174,Z29)))))</f>
        <v>CERDEM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445</v>
      </c>
    </row>
    <row r="30" customFormat="false" ht="12.75" hidden="false" customHeight="false" outlineLevel="0" collapsed="false">
      <c r="A30" s="216" t="s">
        <v>85</v>
      </c>
      <c r="B30" s="217" t="n">
        <v>3.549</v>
      </c>
      <c r="C30" s="200" t="n">
        <v>0</v>
      </c>
      <c r="D30" s="218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Myriophyllum spicatum</v>
      </c>
      <c r="E30" s="219" t="e">
        <f aca="false">IF(D30="",0,VLOOKUP(D30,D$22:D29,1,0))</f>
        <v>#N/A</v>
      </c>
      <c r="F30" s="220" t="n">
        <f aca="false">IF(AND(OR(A30="",A30="!!!!!!"),B30="",C30=""),"",IF(OR(AND(B30="",C30=""),ISERROR(C30+B30)),"!!!",($B30*$B$7+$C30*$C$7)/100))</f>
        <v>3.549</v>
      </c>
      <c r="G30" s="221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PHy</v>
      </c>
      <c r="H30" s="222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7</v>
      </c>
      <c r="I30" s="8" t="n">
        <f aca="false">IF(A30="","",1)</f>
        <v>1</v>
      </c>
      <c r="J30" s="223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8</v>
      </c>
      <c r="K30" s="223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Myriophyllum spicatum</v>
      </c>
      <c r="M30" s="224"/>
      <c r="N30" s="224"/>
      <c r="O30" s="224"/>
      <c r="P30" s="225" t="s">
        <v>78</v>
      </c>
      <c r="Q30" s="226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1778</v>
      </c>
      <c r="R30" s="211" t="n">
        <f aca="false">IF(ISTEXT(H30),"",(B30*$B$7/100)+(C30*$C$7/100))</f>
        <v>3.549</v>
      </c>
      <c r="S30" s="212" t="n">
        <f aca="false">IF(OR(ISTEXT(H30),R30=0),"",IF(R30&lt;0.1,1,IF(R30&lt;1,2,IF(R30&lt;10,3,IF(R30&lt;50,4,IF(R30&gt;=50,5,""))))))</f>
        <v>3</v>
      </c>
      <c r="T30" s="212" t="n">
        <f aca="false">IF(ISERROR(S30*J30),0,S30*J30)</f>
        <v>24</v>
      </c>
      <c r="U30" s="212" t="n">
        <f aca="false">IF(ISERROR(S30*J30*K30),0,S30*J30*K30)</f>
        <v>48</v>
      </c>
      <c r="V30" s="227" t="n">
        <f aca="false">IF(ISERROR(S30*K30),0,S30*K30)</f>
        <v>6</v>
      </c>
      <c r="W30" s="228"/>
      <c r="X30" s="229"/>
      <c r="Y30" s="215" t="str">
        <f aca="false">IF(AND(ISNUMBER(F30),OR(A30="",A30="!!!!!!")),"!!!!!!",IF(A30="new.cod","NEWCOD",IF(AND((Z30=""),ISTEXT(A30),A30&lt;&gt;"!!!!!!"),A30,IF(Z30="","",INDEX('[1]liste reference'!$A$6:$A$1174,Z30)))))</f>
        <v>MYRSPI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486</v>
      </c>
    </row>
    <row r="31" customFormat="false" ht="12.75" hidden="false" customHeight="false" outlineLevel="0" collapsed="false">
      <c r="A31" s="216" t="s">
        <v>86</v>
      </c>
      <c r="B31" s="217" t="n">
        <v>0.74</v>
      </c>
      <c r="C31" s="200" t="n">
        <v>0</v>
      </c>
      <c r="D31" s="218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Myriophyllum verticillatum</v>
      </c>
      <c r="E31" s="219" t="e">
        <f aca="false">IF(D31="",0,VLOOKUP(D31,D$22:D30,1,0))</f>
        <v>#N/A</v>
      </c>
      <c r="F31" s="220" t="n">
        <f aca="false">IF(AND(OR(A31="",A31="!!!!!!"),B31="",C31=""),"",IF(OR(AND(B31="",C31=""),ISERROR(C31+B31)),"!!!",($B31*$B$7+$C31*$C$7)/100))</f>
        <v>0.74</v>
      </c>
      <c r="G31" s="221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PHy</v>
      </c>
      <c r="H31" s="222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7</v>
      </c>
      <c r="I31" s="8" t="n">
        <f aca="false">IF(A31="","",1)</f>
        <v>1</v>
      </c>
      <c r="J31" s="223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12</v>
      </c>
      <c r="K31" s="223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3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Myriophyllum verticillatum</v>
      </c>
      <c r="M31" s="224"/>
      <c r="N31" s="224"/>
      <c r="O31" s="224"/>
      <c r="P31" s="225" t="s">
        <v>78</v>
      </c>
      <c r="Q31" s="226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1779</v>
      </c>
      <c r="R31" s="211" t="n">
        <f aca="false">IF(ISTEXT(H31),"",(B31*$B$7/100)+(C31*$C$7/100))</f>
        <v>0.74</v>
      </c>
      <c r="S31" s="212" t="n">
        <f aca="false">IF(OR(ISTEXT(H31),R31=0),"",IF(R31&lt;0.1,1,IF(R31&lt;1,2,IF(R31&lt;10,3,IF(R31&lt;50,4,IF(R31&gt;=50,5,""))))))</f>
        <v>2</v>
      </c>
      <c r="T31" s="212" t="n">
        <f aca="false">IF(ISERROR(S31*J31),0,S31*J31)</f>
        <v>24</v>
      </c>
      <c r="U31" s="212" t="n">
        <f aca="false">IF(ISERROR(S31*J31*K31),0,S31*J31*K31)</f>
        <v>72</v>
      </c>
      <c r="V31" s="227" t="n">
        <f aca="false">IF(ISERROR(S31*K31),0,S31*K31)</f>
        <v>6</v>
      </c>
      <c r="W31" s="228"/>
      <c r="X31" s="229"/>
      <c r="Y31" s="215" t="str">
        <f aca="false">IF(AND(ISNUMBER(F31),OR(A31="",A31="!!!!!!")),"!!!!!!",IF(A31="new.cod","NEWCOD",IF(AND((Z31=""),ISTEXT(A31),A31&lt;&gt;"!!!!!!"),A31,IF(Z31="","",INDEX('[1]liste reference'!$A$6:$A$1174,Z31)))))</f>
        <v>MYRVER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488</v>
      </c>
    </row>
    <row r="32" customFormat="false" ht="12.75" hidden="false" customHeight="false" outlineLevel="0" collapsed="false">
      <c r="A32" s="216" t="s">
        <v>87</v>
      </c>
      <c r="B32" s="217" t="n">
        <v>2.41</v>
      </c>
      <c r="C32" s="200" t="n">
        <v>0</v>
      </c>
      <c r="D32" s="218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Nuphar lutea</v>
      </c>
      <c r="E32" s="219" t="e">
        <f aca="false">IF(D32="",0,VLOOKUP(D32,D$22:D31,1,0))</f>
        <v>#N/A</v>
      </c>
      <c r="F32" s="220" t="n">
        <f aca="false">IF(AND(OR(A32="",A32="!!!!!!"),B32="",C32=""),"",IF(OR(AND(B32="",C32=""),ISERROR(C32+B32)),"!!!",($B32*$B$7+$C32*$C$7)/100))</f>
        <v>2.41</v>
      </c>
      <c r="G32" s="221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PHy</v>
      </c>
      <c r="H32" s="222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7</v>
      </c>
      <c r="I32" s="8" t="n">
        <f aca="false">IF(A32="","",1)</f>
        <v>1</v>
      </c>
      <c r="J32" s="223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9</v>
      </c>
      <c r="K32" s="223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Nuphar lutea</v>
      </c>
      <c r="M32" s="224"/>
      <c r="N32" s="224"/>
      <c r="O32" s="224"/>
      <c r="P32" s="225" t="s">
        <v>78</v>
      </c>
      <c r="Q32" s="226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1839</v>
      </c>
      <c r="R32" s="211" t="n">
        <f aca="false">IF(ISTEXT(H32),"",(B32*$B$7/100)+(C32*$C$7/100))</f>
        <v>2.41</v>
      </c>
      <c r="S32" s="212" t="n">
        <f aca="false">IF(OR(ISTEXT(H32),R32=0),"",IF(R32&lt;0.1,1,IF(R32&lt;1,2,IF(R32&lt;10,3,IF(R32&lt;50,4,IF(R32&gt;=50,5,""))))))</f>
        <v>3</v>
      </c>
      <c r="T32" s="212" t="n">
        <f aca="false">IF(ISERROR(S32*J32),0,S32*J32)</f>
        <v>27</v>
      </c>
      <c r="U32" s="212" t="n">
        <f aca="false">IF(ISERROR(S32*J32*K32),0,S32*J32*K32)</f>
        <v>27</v>
      </c>
      <c r="V32" s="227" t="n">
        <f aca="false">IF(ISERROR(S32*K32),0,S32*K32)</f>
        <v>3</v>
      </c>
      <c r="W32" s="228"/>
      <c r="X32" s="229"/>
      <c r="Y32" s="215" t="str">
        <f aca="false">IF(AND(ISNUMBER(F32),OR(A32="",A32="!!!!!!")),"!!!!!!",IF(A32="new.cod","NEWCOD",IF(AND((Z32=""),ISTEXT(A32),A32&lt;&gt;"!!!!!!"),A32,IF(Z32="","",INDEX('[1]liste reference'!$A$6:$A$1174,Z32)))))</f>
        <v>NUPLUT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499</v>
      </c>
    </row>
    <row r="33" customFormat="false" ht="12.75" hidden="false" customHeight="false" outlineLevel="0" collapsed="false">
      <c r="A33" s="216" t="s">
        <v>88</v>
      </c>
      <c r="B33" s="217" t="n">
        <v>0.0299</v>
      </c>
      <c r="C33" s="200" t="n">
        <v>0</v>
      </c>
      <c r="D33" s="218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Potamogeton nodosus</v>
      </c>
      <c r="E33" s="219" t="e">
        <f aca="false">IF(D33="",0,VLOOKUP(D33,D$22:D32,1,0))</f>
        <v>#N/A</v>
      </c>
      <c r="F33" s="220" t="n">
        <f aca="false">IF(AND(OR(A33="",A33="!!!!!!"),B33="",C33=""),"",IF(OR(AND(B33="",C33=""),ISERROR(C33+B33)),"!!!",($B33*$B$7+$C33*$C$7)/100))</f>
        <v>0.0299</v>
      </c>
      <c r="G33" s="221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PHy</v>
      </c>
      <c r="H33" s="222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7</v>
      </c>
      <c r="I33" s="8" t="n">
        <f aca="false">IF(A33="","",1)</f>
        <v>1</v>
      </c>
      <c r="J33" s="223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4</v>
      </c>
      <c r="K33" s="223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3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Potamogeton nodosus</v>
      </c>
      <c r="M33" s="224"/>
      <c r="N33" s="224"/>
      <c r="O33" s="224"/>
      <c r="P33" s="225" t="s">
        <v>78</v>
      </c>
      <c r="Q33" s="226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1652</v>
      </c>
      <c r="R33" s="211" t="n">
        <f aca="false">IF(ISTEXT(H33),"",(B33*$B$7/100)+(C33*$C$7/100))</f>
        <v>0.0299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4</v>
      </c>
      <c r="U33" s="212" t="n">
        <f aca="false">IF(ISERROR(S33*J33*K33),0,S33*J33*K33)</f>
        <v>12</v>
      </c>
      <c r="V33" s="227" t="n">
        <f aca="false">IF(ISERROR(S33*K33),0,S33*K33)</f>
        <v>3</v>
      </c>
      <c r="W33" s="228"/>
      <c r="X33" s="229"/>
      <c r="Y33" s="215" t="str">
        <f aca="false">IF(AND(ISNUMBER(F33),OR(A33="",A33="!!!!!!")),"!!!!!!",IF(A33="new.cod","NEWCOD",IF(AND((Z33=""),ISTEXT(A33),A33&lt;&gt;"!!!!!!"),A33,IF(Z33="","",INDEX('[1]liste reference'!$A$6:$A$1174,Z33)))))</f>
        <v>POTNOD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530</v>
      </c>
    </row>
    <row r="34" customFormat="false" ht="12.75" hidden="false" customHeight="false" outlineLevel="0" collapsed="false">
      <c r="A34" s="216" t="s">
        <v>89</v>
      </c>
      <c r="B34" s="217" t="n">
        <v>0.0049</v>
      </c>
      <c r="C34" s="200" t="n">
        <v>0</v>
      </c>
      <c r="D34" s="218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Potamogeton pectinatus</v>
      </c>
      <c r="E34" s="219" t="e">
        <f aca="false">IF(D34="",0,VLOOKUP(D34,D$22:D33,1,0))</f>
        <v>#N/A</v>
      </c>
      <c r="F34" s="220" t="n">
        <f aca="false">IF(AND(OR(A34="",A34="!!!!!!"),B34="",C34=""),"",IF(OR(AND(B34="",C34=""),ISERROR(C34+B34)),"!!!",($B34*$B$7+$C34*$C$7)/100))</f>
        <v>0.0049</v>
      </c>
      <c r="G34" s="221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PHy</v>
      </c>
      <c r="H34" s="222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7</v>
      </c>
      <c r="I34" s="8" t="n">
        <f aca="false">IF(A34="","",1)</f>
        <v>1</v>
      </c>
      <c r="J34" s="223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2</v>
      </c>
      <c r="K34" s="223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Potamogeton pectinatus</v>
      </c>
      <c r="M34" s="224"/>
      <c r="N34" s="224"/>
      <c r="O34" s="224"/>
      <c r="P34" s="225" t="s">
        <v>78</v>
      </c>
      <c r="Q34" s="226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1655</v>
      </c>
      <c r="R34" s="211" t="n">
        <f aca="false">IF(ISTEXT(H34),"",(B34*$B$7/100)+(C34*$C$7/100))</f>
        <v>0.0049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2</v>
      </c>
      <c r="U34" s="212" t="n">
        <f aca="false">IF(ISERROR(S34*J34*K34),0,S34*J34*K34)</f>
        <v>4</v>
      </c>
      <c r="V34" s="227" t="n">
        <f aca="false">IF(ISERROR(S34*K34),0,S34*K34)</f>
        <v>2</v>
      </c>
      <c r="W34" s="228"/>
      <c r="X34" s="229"/>
      <c r="Y34" s="215" t="str">
        <f aca="false">IF(AND(ISNUMBER(F34),OR(A34="",A34="!!!!!!")),"!!!!!!",IF(A34="new.cod","NEWCOD",IF(AND((Z34=""),ISTEXT(A34),A34&lt;&gt;"!!!!!!"),A34,IF(Z34="","",INDEX('[1]liste reference'!$A$6:$A$1174,Z34)))))</f>
        <v>POTPEC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532</v>
      </c>
    </row>
    <row r="35" customFormat="false" ht="12.75" hidden="false" customHeight="false" outlineLevel="0" collapsed="false">
      <c r="A35" s="216" t="s">
        <v>90</v>
      </c>
      <c r="B35" s="217" t="n">
        <v>0.3299</v>
      </c>
      <c r="C35" s="200" t="n">
        <v>0</v>
      </c>
      <c r="D35" s="218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Potamogeton perfoliatus</v>
      </c>
      <c r="E35" s="219" t="e">
        <f aca="false">IF(D35="",0,VLOOKUP(D35,D$22:D34,1,0))</f>
        <v>#N/A</v>
      </c>
      <c r="F35" s="220" t="n">
        <f aca="false">IF(AND(OR(A35="",A35="!!!!!!"),B35="",C35=""),"",IF(OR(AND(B35="",C35=""),ISERROR(C35+B35)),"!!!",($B35*$B$7+$C35*$C$7)/100))</f>
        <v>0.3299</v>
      </c>
      <c r="G35" s="221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PHy</v>
      </c>
      <c r="H35" s="222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7</v>
      </c>
      <c r="I35" s="8" t="n">
        <f aca="false">IF(A35="","",1)</f>
        <v>1</v>
      </c>
      <c r="J35" s="223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9</v>
      </c>
      <c r="K35" s="223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Potamogeton perfoliatus</v>
      </c>
      <c r="M35" s="224"/>
      <c r="N35" s="224"/>
      <c r="O35" s="224"/>
      <c r="P35" s="225" t="s">
        <v>78</v>
      </c>
      <c r="Q35" s="226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1656</v>
      </c>
      <c r="R35" s="211" t="n">
        <f aca="false">IF(ISTEXT(H35),"",(B35*$B$7/100)+(C35*$C$7/100))</f>
        <v>0.3299</v>
      </c>
      <c r="S35" s="212" t="n">
        <f aca="false">IF(OR(ISTEXT(H35),R35=0),"",IF(R35&lt;0.1,1,IF(R35&lt;1,2,IF(R35&lt;10,3,IF(R35&lt;50,4,IF(R35&gt;=50,5,""))))))</f>
        <v>2</v>
      </c>
      <c r="T35" s="212" t="n">
        <f aca="false">IF(ISERROR(S35*J35),0,S35*J35)</f>
        <v>18</v>
      </c>
      <c r="U35" s="212" t="n">
        <f aca="false">IF(ISERROR(S35*J35*K35),0,S35*J35*K35)</f>
        <v>36</v>
      </c>
      <c r="V35" s="227" t="n">
        <f aca="false">IF(ISERROR(S35*K35),0,S35*K35)</f>
        <v>4</v>
      </c>
      <c r="W35" s="228"/>
      <c r="X35" s="229"/>
      <c r="Y35" s="215" t="str">
        <f aca="false">IF(AND(ISNUMBER(F35),OR(A35="",A35="!!!!!!")),"!!!!!!",IF(A35="new.cod","NEWCOD",IF(AND((Z35=""),ISTEXT(A35),A35&lt;&gt;"!!!!!!"),A35,IF(Z35="","",INDEX('[1]liste reference'!$A$6:$A$1174,Z35)))))</f>
        <v>POTPER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533</v>
      </c>
    </row>
    <row r="36" customFormat="false" ht="12.75" hidden="false" customHeight="false" outlineLevel="0" collapsed="false">
      <c r="A36" s="216" t="s">
        <v>16</v>
      </c>
      <c r="B36" s="217" t="n">
        <v>14</v>
      </c>
      <c r="C36" s="200" t="n">
        <v>0</v>
      </c>
      <c r="D36" s="218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Vallisneria spiralis</v>
      </c>
      <c r="E36" s="219" t="e">
        <f aca="false">IF(D36="",0,VLOOKUP(D36,D$22:D35,1,0))</f>
        <v>#N/A</v>
      </c>
      <c r="F36" s="220" t="n">
        <f aca="false">IF(AND(OR(A36="",A36="!!!!!!"),B36="",C36=""),"",IF(OR(AND(B36="",C36=""),ISERROR(C36+B36)),"!!!",($B36*$B$7+$C36*$C$7)/100))</f>
        <v>14</v>
      </c>
      <c r="G36" s="221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PHy</v>
      </c>
      <c r="H36" s="222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7</v>
      </c>
      <c r="I36" s="8" t="n">
        <f aca="false">IF(A36="","",1)</f>
        <v>1</v>
      </c>
      <c r="J36" s="223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8</v>
      </c>
      <c r="K36" s="223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Vallisneria spiralis</v>
      </c>
      <c r="M36" s="224"/>
      <c r="N36" s="224"/>
      <c r="O36" s="224"/>
      <c r="P36" s="225" t="s">
        <v>78</v>
      </c>
      <c r="Q36" s="226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1598</v>
      </c>
      <c r="R36" s="211" t="n">
        <f aca="false">IF(ISTEXT(H36),"",(B36*$B$7/100)+(C36*$C$7/100))</f>
        <v>14</v>
      </c>
      <c r="S36" s="212" t="n">
        <f aca="false">IF(OR(ISTEXT(H36),R36=0),"",IF(R36&lt;0.1,1,IF(R36&lt;1,2,IF(R36&lt;10,3,IF(R36&lt;50,4,IF(R36&gt;=50,5,""))))))</f>
        <v>4</v>
      </c>
      <c r="T36" s="212" t="n">
        <f aca="false">IF(ISERROR(S36*J36),0,S36*J36)</f>
        <v>32</v>
      </c>
      <c r="U36" s="212" t="n">
        <f aca="false">IF(ISERROR(S36*J36*K36),0,S36*J36*K36)</f>
        <v>64</v>
      </c>
      <c r="V36" s="227" t="n">
        <f aca="false">IF(ISERROR(S36*K36),0,S36*K36)</f>
        <v>8</v>
      </c>
      <c r="W36" s="228"/>
      <c r="X36" s="229"/>
      <c r="Y36" s="215" t="str">
        <f aca="false">IF(AND(ISNUMBER(F36),OR(A36="",A36="!!!!!!")),"!!!!!!",IF(A36="new.cod","NEWCOD",IF(AND((Z36=""),ISTEXT(A36),A36&lt;&gt;"!!!!!!"),A36,IF(Z36="","",INDEX('[1]liste reference'!$A$6:$A$1174,Z36)))))</f>
        <v>VALSPI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613</v>
      </c>
    </row>
    <row r="37" customFormat="false" ht="12.75" hidden="false" customHeight="false" outlineLevel="0" collapsed="false">
      <c r="A37" s="216" t="s">
        <v>91</v>
      </c>
      <c r="B37" s="217" t="n">
        <v>0.049</v>
      </c>
      <c r="C37" s="200" t="n">
        <v>0</v>
      </c>
      <c r="D37" s="218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Phalaris arundinacea</v>
      </c>
      <c r="E37" s="219" t="e">
        <f aca="false">IF(D37="",0,VLOOKUP(D37,D$22:D36,1,0))</f>
        <v>#N/A</v>
      </c>
      <c r="F37" s="220" t="n">
        <f aca="false">IF(AND(OR(A37="",A37="!!!!!!"),B37="",C37=""),"",IF(OR(AND(B37="",C37=""),ISERROR(C37+B37)),"!!!",($B37*$B$7+$C37*$C$7)/100))</f>
        <v>0.049</v>
      </c>
      <c r="G37" s="221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PHe</v>
      </c>
      <c r="H37" s="222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8</v>
      </c>
      <c r="I37" s="8" t="n">
        <f aca="false">IF(A37="","",1)</f>
        <v>1</v>
      </c>
      <c r="J37" s="223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10</v>
      </c>
      <c r="K37" s="223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1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Phalaris arundinacea</v>
      </c>
      <c r="M37" s="224"/>
      <c r="N37" s="224"/>
      <c r="O37" s="224"/>
      <c r="P37" s="225" t="s">
        <v>78</v>
      </c>
      <c r="Q37" s="226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1577</v>
      </c>
      <c r="R37" s="211" t="n">
        <f aca="false">IF(ISTEXT(H37),"",(B37*$B$7/100)+(C37*$C$7/100))</f>
        <v>0.049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10</v>
      </c>
      <c r="U37" s="212" t="n">
        <f aca="false">IF(ISERROR(S37*J37*K37),0,S37*J37*K37)</f>
        <v>10</v>
      </c>
      <c r="V37" s="227" t="n">
        <f aca="false">IF(ISERROR(S37*K37),0,S37*K37)</f>
        <v>1</v>
      </c>
      <c r="W37" s="228"/>
      <c r="X37" s="229"/>
      <c r="Y37" s="215" t="str">
        <f aca="false">IF(AND(ISNUMBER(F37),OR(A37="",A37="!!!!!!")),"!!!!!!",IF(A37="new.cod","NEWCOD",IF(AND((Z37=""),ISTEXT(A37),A37&lt;&gt;"!!!!!!"),A37,IF(Z37="","",INDEX('[1]liste reference'!$A$6:$A$1174,Z37)))))</f>
        <v>PHAARU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707</v>
      </c>
    </row>
    <row r="38" customFormat="false" ht="12.75" hidden="false" customHeight="false" outlineLevel="0" collapsed="false">
      <c r="A38" s="216" t="s">
        <v>92</v>
      </c>
      <c r="B38" s="217" t="n">
        <v>0.049</v>
      </c>
      <c r="C38" s="200" t="n">
        <v>0</v>
      </c>
      <c r="D38" s="218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Phragmites australis</v>
      </c>
      <c r="E38" s="219" t="e">
        <f aca="false">IF(D38="",0,VLOOKUP(D38,D$22:D37,1,0))</f>
        <v>#N/A</v>
      </c>
      <c r="F38" s="220" t="n">
        <f aca="false">IF(AND(OR(A38="",A38="!!!!!!"),B38="",C38=""),"",IF(OR(AND(B38="",C38=""),ISERROR(C38+B38)),"!!!",($B38*$B$7+$C38*$C$7)/100))</f>
        <v>0.049</v>
      </c>
      <c r="G38" s="221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PHe</v>
      </c>
      <c r="H38" s="222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8</v>
      </c>
      <c r="I38" s="8" t="n">
        <f aca="false">IF(A38="","",1)</f>
        <v>1</v>
      </c>
      <c r="J38" s="223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9</v>
      </c>
      <c r="K38" s="223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2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Phragmites australis</v>
      </c>
      <c r="M38" s="224"/>
      <c r="N38" s="224"/>
      <c r="O38" s="224"/>
      <c r="P38" s="225" t="s">
        <v>78</v>
      </c>
      <c r="Q38" s="226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1579</v>
      </c>
      <c r="R38" s="211" t="n">
        <f aca="false">IF(ISTEXT(H38),"",(B38*$B$7/100)+(C38*$C$7/100))</f>
        <v>0.049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9</v>
      </c>
      <c r="U38" s="212" t="n">
        <f aca="false">IF(ISERROR(S38*J38*K38),0,S38*J38*K38)</f>
        <v>18</v>
      </c>
      <c r="V38" s="227" t="n">
        <f aca="false">IF(ISERROR(S38*K38),0,S38*K38)</f>
        <v>2</v>
      </c>
      <c r="W38" s="228"/>
      <c r="X38" s="229"/>
      <c r="Y38" s="215" t="str">
        <f aca="false">IF(AND(ISNUMBER(F38),OR(A38="",A38="!!!!!!")),"!!!!!!",IF(A38="new.cod","NEWCOD",IF(AND((Z38=""),ISTEXT(A38),A38&lt;&gt;"!!!!!!"),A38,IF(Z38="","",INDEX('[1]liste reference'!$A$6:$A$1174,Z38)))))</f>
        <v>PHRAUS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709</v>
      </c>
    </row>
    <row r="39" customFormat="false" ht="12.75" hidden="false" customHeight="false" outlineLevel="0" collapsed="false">
      <c r="A39" s="216" t="s">
        <v>93</v>
      </c>
      <c r="B39" s="217" t="n">
        <v>0.0049</v>
      </c>
      <c r="C39" s="200" t="n">
        <v>0</v>
      </c>
      <c r="D39" s="218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Iris sp.</v>
      </c>
      <c r="E39" s="219" t="e">
        <f aca="false">IF(D39="",0,VLOOKUP(D39,D$22:D38,1,0))</f>
        <v>#N/A</v>
      </c>
      <c r="F39" s="220" t="n">
        <f aca="false">IF(AND(OR(A39="",A39="!!!!!!"),B39="",C39=""),"",IF(OR(AND(B39="",C39=""),ISERROR(C39+B39)),"!!!",($B39*$B$7+$C39*$C$7)/100))</f>
        <v>0.0049</v>
      </c>
      <c r="G39" s="221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PHx</v>
      </c>
      <c r="H39" s="222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10</v>
      </c>
      <c r="I39" s="8" t="n">
        <f aca="false">IF(A39="","",1)</f>
        <v>1</v>
      </c>
      <c r="J39" s="223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nc</v>
      </c>
      <c r="K39" s="223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nc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Iris sp.</v>
      </c>
      <c r="M39" s="224"/>
      <c r="N39" s="224"/>
      <c r="O39" s="224"/>
      <c r="P39" s="225" t="s">
        <v>78</v>
      </c>
      <c r="Q39" s="226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1600</v>
      </c>
      <c r="R39" s="211" t="n">
        <f aca="false">IF(ISTEXT(H39),"",(B39*$B$7/100)+(C39*$C$7/100))</f>
        <v>0.0049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0</v>
      </c>
      <c r="U39" s="212" t="n">
        <f aca="false">IF(ISERROR(S39*J39*K39),0,S39*J39*K39)</f>
        <v>0</v>
      </c>
      <c r="V39" s="227" t="n">
        <f aca="false">IF(ISERROR(S39*K39),0,S39*K39)</f>
        <v>0</v>
      </c>
      <c r="W39" s="228"/>
      <c r="X39" s="229"/>
      <c r="Y39" s="215" t="str">
        <f aca="false">IF(AND(ISNUMBER(F39),OR(A39="",A39="!!!!!!")),"!!!!!!",IF(A39="new.cod","NEWCOD",IF(AND((Z39=""),ISTEXT(A39),A39&lt;&gt;"!!!!!!"),A39,IF(Z39="","",INDEX('[1]liste reference'!$A$6:$A$1174,Z39)))))</f>
        <v>IRISPX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1087</v>
      </c>
    </row>
    <row r="40" customFormat="false" ht="12.75" hidden="false" customHeight="false" outlineLevel="0" collapsed="false">
      <c r="A40" s="216" t="s">
        <v>94</v>
      </c>
      <c r="B40" s="217" t="n">
        <v>0.0049</v>
      </c>
      <c r="C40" s="200" t="n">
        <v>0</v>
      </c>
      <c r="D40" s="218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Mentha sp.</v>
      </c>
      <c r="E40" s="219" t="e">
        <f aca="false">IF(D40="",0,VLOOKUP(D40,D$22:D39,1,0))</f>
        <v>#N/A</v>
      </c>
      <c r="F40" s="220" t="n">
        <f aca="false">IF(AND(OR(A40="",A40="!!!!!!"),B40="",C40=""),"",IF(OR(AND(B40="",C40=""),ISERROR(C40+B40)),"!!!",($B40*$B$7+$C40*$C$7)/100))</f>
        <v>0.0049</v>
      </c>
      <c r="G40" s="221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PHx</v>
      </c>
      <c r="H40" s="222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10</v>
      </c>
      <c r="I40" s="8" t="n">
        <f aca="false">IF(A40="","",1)</f>
        <v>1</v>
      </c>
      <c r="J40" s="223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nc</v>
      </c>
      <c r="K40" s="223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nc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Mentha sp.</v>
      </c>
      <c r="M40" s="224"/>
      <c r="N40" s="224"/>
      <c r="O40" s="224"/>
      <c r="P40" s="225" t="s">
        <v>78</v>
      </c>
      <c r="Q40" s="226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1790</v>
      </c>
      <c r="R40" s="211" t="n">
        <f aca="false">IF(ISTEXT(H40),"",(B40*$B$7/100)+(C40*$C$7/100))</f>
        <v>0.0049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0</v>
      </c>
      <c r="U40" s="212" t="n">
        <f aca="false">IF(ISERROR(S40*J40*K40),0,S40*J40*K40)</f>
        <v>0</v>
      </c>
      <c r="V40" s="227" t="n">
        <f aca="false">IF(ISERROR(S40*K40),0,S40*K40)</f>
        <v>0</v>
      </c>
      <c r="W40" s="228"/>
      <c r="X40" s="229"/>
      <c r="Y40" s="215" t="str">
        <f aca="false">IF(AND(ISNUMBER(F40),OR(A40="",A40="!!!!!!")),"!!!!!!",IF(A40="new.cod","NEWCOD",IF(AND((Z40=""),ISTEXT(A40),A40&lt;&gt;"!!!!!!"),A40,IF(Z40="","",INDEX('[1]liste reference'!$A$6:$A$1174,Z40)))))</f>
        <v>MENSPX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1098</v>
      </c>
    </row>
    <row r="41" customFormat="false" ht="12.75" hidden="false" customHeight="false" outlineLevel="0" collapsed="false">
      <c r="A41" s="216"/>
      <c r="B41" s="217"/>
      <c r="C41" s="230"/>
      <c r="D41" s="218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19" t="n">
        <f aca="false">IF(D41="",0,VLOOKUP(D41,D$22:D40,1,0))</f>
        <v>0</v>
      </c>
      <c r="F41" s="220" t="str">
        <f aca="false">IF(AND(OR(A41="",A41="!!!!!!"),B41="",C41=""),"",IF(OR(AND(B41="",C41=""),ISERROR(C41+B41)),"!!!",($B41*$B$7+$C41*$C$7)/100))</f>
        <v/>
      </c>
      <c r="G41" s="221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2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3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3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4"/>
      <c r="N41" s="224"/>
      <c r="O41" s="224"/>
      <c r="P41" s="225" t="s">
        <v>78</v>
      </c>
      <c r="Q41" s="226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7" t="n">
        <f aca="false">IF(ISERROR(S41*K41),0,S41*K41)</f>
        <v>0</v>
      </c>
      <c r="W41" s="228"/>
      <c r="X41" s="229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30"/>
      <c r="D42" s="218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19" t="n">
        <f aca="false">IF(D42="",0,VLOOKUP(D42,D$22:D41,1,0))</f>
        <v>0</v>
      </c>
      <c r="F42" s="220" t="str">
        <f aca="false">IF(AND(OR(A42="",A42="!!!!!!"),B42="",C42=""),"",IF(OR(AND(B42="",C42=""),ISERROR(C42+B42)),"!!!",($B42*$B$7+$C42*$C$7)/100))</f>
        <v/>
      </c>
      <c r="G42" s="221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2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3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3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4"/>
      <c r="N42" s="224"/>
      <c r="O42" s="224"/>
      <c r="P42" s="225" t="s">
        <v>78</v>
      </c>
      <c r="Q42" s="226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7" t="n">
        <f aca="false">IF(ISERROR(S42*K42),0,S42*K42)</f>
        <v>0</v>
      </c>
      <c r="W42" s="228"/>
      <c r="X42" s="229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30"/>
      <c r="D43" s="218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19" t="n">
        <f aca="false">IF(D43="",0,VLOOKUP(D43,D$22:D42,1,0))</f>
        <v>0</v>
      </c>
      <c r="F43" s="220" t="str">
        <f aca="false">IF(AND(OR(A43="",A43="!!!!!!"),B43="",C43=""),"",IF(OR(AND(B43="",C43=""),ISERROR(C43+B43)),"!!!",($B43*$B$7+$C43*$C$7)/100))</f>
        <v/>
      </c>
      <c r="G43" s="221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2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3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3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4"/>
      <c r="N43" s="224"/>
      <c r="O43" s="224"/>
      <c r="P43" s="225" t="s">
        <v>78</v>
      </c>
      <c r="Q43" s="226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7" t="n">
        <f aca="false">IF(ISERROR(S43*K43),0,S43*K43)</f>
        <v>0</v>
      </c>
      <c r="W43" s="228"/>
      <c r="X43" s="229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30"/>
      <c r="D44" s="218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19" t="n">
        <f aca="false">IF(D44="",0,VLOOKUP(D44,D$22:D43,1,0))</f>
        <v>0</v>
      </c>
      <c r="F44" s="220" t="str">
        <f aca="false">IF(AND(OR(A44="",A44="!!!!!!"),B44="",C44=""),"",IF(OR(AND(B44="",C44=""),ISERROR(C44+B44)),"!!!",($B44*$B$7+$C44*$C$7)/100))</f>
        <v/>
      </c>
      <c r="G44" s="221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2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3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3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4"/>
      <c r="N44" s="224"/>
      <c r="O44" s="224"/>
      <c r="P44" s="225" t="s">
        <v>78</v>
      </c>
      <c r="Q44" s="226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7" t="n">
        <f aca="false">IF(ISERROR(S44*K44),0,S44*K44)</f>
        <v>0</v>
      </c>
      <c r="W44" s="228"/>
      <c r="X44" s="229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30"/>
      <c r="D45" s="218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19" t="n">
        <f aca="false">IF(D45="",0,VLOOKUP(D45,D$22:D44,1,0))</f>
        <v>0</v>
      </c>
      <c r="F45" s="220" t="str">
        <f aca="false">IF(AND(OR(A45="",A45="!!!!!!"),B45="",C45=""),"",IF(OR(AND(B45="",C45=""),ISERROR(C45+B45)),"!!!",($B45*$B$7+$C45*$C$7)/100))</f>
        <v/>
      </c>
      <c r="G45" s="221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2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3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3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4"/>
      <c r="N45" s="224"/>
      <c r="O45" s="224"/>
      <c r="P45" s="225" t="s">
        <v>78</v>
      </c>
      <c r="Q45" s="226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7" t="n">
        <f aca="false">IF(ISERROR(S45*K45),0,S45*K45)</f>
        <v>0</v>
      </c>
      <c r="W45" s="228"/>
      <c r="X45" s="229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30"/>
      <c r="D46" s="218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19" t="n">
        <f aca="false">IF(D46="",0,VLOOKUP(D46,D$22:D45,1,0))</f>
        <v>0</v>
      </c>
      <c r="F46" s="220" t="str">
        <f aca="false">IF(AND(OR(A46="",A46="!!!!!!"),B46="",C46=""),"",IF(OR(AND(B46="",C46=""),ISERROR(C46+B46)),"!!!",($B46*$B$7+$C46*$C$7)/100))</f>
        <v/>
      </c>
      <c r="G46" s="221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2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3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3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4"/>
      <c r="N46" s="224"/>
      <c r="O46" s="224"/>
      <c r="P46" s="225" t="s">
        <v>78</v>
      </c>
      <c r="Q46" s="226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7" t="n">
        <f aca="false">IF(ISERROR(S46*K46),0,S46*K46)</f>
        <v>0</v>
      </c>
      <c r="W46" s="228"/>
      <c r="X46" s="229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30"/>
      <c r="D47" s="218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19" t="n">
        <f aca="false">IF(D47="",0,VLOOKUP(D47,D$22:D46,1,0))</f>
        <v>0</v>
      </c>
      <c r="F47" s="220" t="str">
        <f aca="false">IF(AND(OR(A47="",A47="!!!!!!"),B47="",C47=""),"",IF(OR(AND(B47="",C47=""),ISERROR(C47+B47)),"!!!",($B47*$B$7+$C47*$C$7)/100))</f>
        <v/>
      </c>
      <c r="G47" s="221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2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3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3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4"/>
      <c r="N47" s="224"/>
      <c r="O47" s="224"/>
      <c r="P47" s="225" t="s">
        <v>78</v>
      </c>
      <c r="Q47" s="226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7" t="n">
        <f aca="false">IF(ISERROR(S47*K47),0,S47*K47)</f>
        <v>0</v>
      </c>
      <c r="W47" s="228"/>
      <c r="X47" s="229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30"/>
      <c r="D48" s="218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19" t="n">
        <f aca="false">IF(D48="",0,VLOOKUP(D48,D$22:D47,1,0))</f>
        <v>0</v>
      </c>
      <c r="F48" s="220" t="str">
        <f aca="false">IF(AND(OR(A48="",A48="!!!!!!"),B48="",C48=""),"",IF(OR(AND(B48="",C48=""),ISERROR(C48+B48)),"!!!",($B48*$B$7+$C48*$C$7)/100))</f>
        <v/>
      </c>
      <c r="G48" s="221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2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3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3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4"/>
      <c r="N48" s="224"/>
      <c r="O48" s="224"/>
      <c r="P48" s="225" t="s">
        <v>78</v>
      </c>
      <c r="Q48" s="226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7" t="n">
        <f aca="false">IF(ISERROR(S48*K48),0,S48*K48)</f>
        <v>0</v>
      </c>
      <c r="W48" s="228"/>
      <c r="X48" s="229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30"/>
      <c r="D49" s="218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19" t="n">
        <f aca="false">IF(D49="",0,VLOOKUP(D49,D$22:D48,1,0))</f>
        <v>0</v>
      </c>
      <c r="F49" s="220" t="str">
        <f aca="false">IF(AND(OR(A49="",A49="!!!!!!"),B49="",C49=""),"",IF(OR(AND(B49="",C49=""),ISERROR(C49+B49)),"!!!",($B49*$B$7+$C49*$C$7)/100))</f>
        <v/>
      </c>
      <c r="G49" s="221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2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3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3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4"/>
      <c r="N49" s="224"/>
      <c r="O49" s="224"/>
      <c r="P49" s="225" t="s">
        <v>78</v>
      </c>
      <c r="Q49" s="226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7" t="n">
        <f aca="false">IF(ISERROR(S49*K49),0,S49*K49)</f>
        <v>0</v>
      </c>
      <c r="W49" s="228"/>
      <c r="X49" s="229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30"/>
      <c r="D50" s="218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19" t="n">
        <f aca="false">IF(D50="",0,VLOOKUP(D50,D$22:D49,1,0))</f>
        <v>0</v>
      </c>
      <c r="F50" s="220" t="str">
        <f aca="false">IF(AND(OR(A50="",A50="!!!!!!"),B50="",C50=""),"",IF(OR(AND(B50="",C50=""),ISERROR(C50+B50)),"!!!",($B50*$B$7+$C50*$C$7)/100))</f>
        <v/>
      </c>
      <c r="G50" s="221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2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3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3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4"/>
      <c r="N50" s="224"/>
      <c r="O50" s="224"/>
      <c r="P50" s="225" t="s">
        <v>78</v>
      </c>
      <c r="Q50" s="226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7" t="n">
        <f aca="false">IF(ISERROR(S50*K50),0,S50*K50)</f>
        <v>0</v>
      </c>
      <c r="W50" s="228"/>
      <c r="X50" s="229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30"/>
      <c r="D51" s="218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19" t="n">
        <f aca="false">IF(D51="",0,VLOOKUP(D51,D$22:D50,1,0))</f>
        <v>0</v>
      </c>
      <c r="F51" s="220" t="str">
        <f aca="false">IF(AND(OR(A51="",A51="!!!!!!"),B51="",C51=""),"",IF(OR(AND(B51="",C51=""),ISERROR(C51+B51)),"!!!",($B51*$B$7+$C51*$C$7)/100))</f>
        <v/>
      </c>
      <c r="G51" s="221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2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3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3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4"/>
      <c r="N51" s="224"/>
      <c r="O51" s="224"/>
      <c r="P51" s="225" t="s">
        <v>78</v>
      </c>
      <c r="Q51" s="226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7" t="n">
        <f aca="false">IF(ISERROR(S51*K51),0,S51*K51)</f>
        <v>0</v>
      </c>
      <c r="W51" s="228"/>
      <c r="X51" s="229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30"/>
      <c r="D52" s="218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19" t="n">
        <f aca="false">IF(D52="",0,VLOOKUP(D52,D$22:D51,1,0))</f>
        <v>0</v>
      </c>
      <c r="F52" s="220" t="str">
        <f aca="false">IF(AND(OR(A52="",A52="!!!!!!"),B52="",C52=""),"",IF(OR(AND(B52="",C52=""),ISERROR(C52+B52)),"!!!",($B52*$B$7+$C52*$C$7)/100))</f>
        <v/>
      </c>
      <c r="G52" s="221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2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3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3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4"/>
      <c r="N52" s="224"/>
      <c r="O52" s="224"/>
      <c r="P52" s="225" t="s">
        <v>78</v>
      </c>
      <c r="Q52" s="226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7" t="n">
        <f aca="false">IF(ISERROR(S52*K52),0,S52*K52)</f>
        <v>0</v>
      </c>
      <c r="W52" s="228"/>
      <c r="X52" s="229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30"/>
      <c r="D53" s="218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19" t="n">
        <f aca="false">IF(D53="",0,VLOOKUP(D53,D$22:D52,1,0))</f>
        <v>0</v>
      </c>
      <c r="F53" s="220" t="str">
        <f aca="false">IF(AND(OR(A53="",A53="!!!!!!"),B53="",C53=""),"",IF(OR(AND(B53="",C53=""),ISERROR(C53+B53)),"!!!",($B53*$B$7+$C53*$C$7)/100))</f>
        <v/>
      </c>
      <c r="G53" s="221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2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3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3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4"/>
      <c r="N53" s="224"/>
      <c r="O53" s="224"/>
      <c r="P53" s="225" t="s">
        <v>78</v>
      </c>
      <c r="Q53" s="226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7" t="n">
        <f aca="false">IF(ISERROR(S53*K53),0,S53*K53)</f>
        <v>0</v>
      </c>
      <c r="W53" s="228"/>
      <c r="X53" s="229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30"/>
      <c r="D54" s="218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19" t="n">
        <f aca="false">IF(D54="",0,VLOOKUP(D54,D$22:D53,1,0))</f>
        <v>0</v>
      </c>
      <c r="F54" s="220" t="str">
        <f aca="false">IF(AND(OR(A54="",A54="!!!!!!"),B54="",C54=""),"",IF(OR(AND(B54="",C54=""),ISERROR(C54+B54)),"!!!",($B54*$B$7+$C54*$C$7)/100))</f>
        <v/>
      </c>
      <c r="G54" s="221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2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3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3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4"/>
      <c r="N54" s="224"/>
      <c r="O54" s="224"/>
      <c r="P54" s="225" t="s">
        <v>78</v>
      </c>
      <c r="Q54" s="226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7" t="n">
        <f aca="false">IF(ISERROR(S54*K54),0,S54*K54)</f>
        <v>0</v>
      </c>
      <c r="W54" s="228"/>
      <c r="X54" s="229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30"/>
      <c r="D55" s="218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19" t="n">
        <f aca="false">IF(D55="",0,VLOOKUP(D55,D$22:D54,1,0))</f>
        <v>0</v>
      </c>
      <c r="F55" s="220" t="str">
        <f aca="false">IF(AND(OR(A55="",A55="!!!!!!"),B55="",C55=""),"",IF(OR(AND(B55="",C55=""),ISERROR(C55+B55)),"!!!",($B55*$B$7+$C55*$C$7)/100))</f>
        <v/>
      </c>
      <c r="G55" s="221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2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3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3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4"/>
      <c r="N55" s="224"/>
      <c r="O55" s="224"/>
      <c r="P55" s="225" t="s">
        <v>78</v>
      </c>
      <c r="Q55" s="226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7" t="n">
        <f aca="false">IF(ISERROR(S55*K55),0,S55*K55)</f>
        <v>0</v>
      </c>
      <c r="W55" s="228"/>
      <c r="X55" s="229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30"/>
      <c r="D56" s="218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19" t="n">
        <f aca="false">IF(D56="",0,VLOOKUP(D56,D$22:D55,1,0))</f>
        <v>0</v>
      </c>
      <c r="F56" s="220" t="str">
        <f aca="false">IF(AND(OR(A56="",A56="!!!!!!"),B56="",C56=""),"",IF(OR(AND(B56="",C56=""),ISERROR(C56+B56)),"!!!",($B56*$B$7+$C56*$C$7)/100))</f>
        <v/>
      </c>
      <c r="G56" s="221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2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3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3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5" t="s">
        <v>78</v>
      </c>
      <c r="Q56" s="226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7" t="n">
        <f aca="false">IF(ISERROR(S56*K56),0,S56*K56)</f>
        <v>0</v>
      </c>
      <c r="W56" s="228"/>
      <c r="X56" s="229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30"/>
      <c r="D57" s="218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19" t="n">
        <f aca="false">IF(D57="",0,VLOOKUP(D57,D$22:D56,1,0))</f>
        <v>0</v>
      </c>
      <c r="F57" s="220" t="str">
        <f aca="false">IF(AND(OR(A57="",A57="!!!!!!"),B57="",C57=""),"",IF(OR(AND(B57="",C57=""),ISERROR(C57+B57)),"!!!",($B57*$B$7+$C57*$C$7)/100))</f>
        <v/>
      </c>
      <c r="G57" s="221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2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3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3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5" t="s">
        <v>78</v>
      </c>
      <c r="Q57" s="226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7" t="n">
        <f aca="false">IF(ISERROR(S57*K57),0,S57*K57)</f>
        <v>0</v>
      </c>
      <c r="W57" s="228"/>
      <c r="X57" s="229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30"/>
      <c r="D58" s="218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19" t="n">
        <f aca="false">IF(D58="",0,VLOOKUP(D58,D$22:D57,1,0))</f>
        <v>0</v>
      </c>
      <c r="F58" s="220" t="str">
        <f aca="false">IF(AND(OR(A58="",A58="!!!!!!"),B58="",C58=""),"",IF(OR(AND(B58="",C58=""),ISERROR(C58+B58)),"!!!",($B58*$B$7+$C58*$C$7)/100))</f>
        <v/>
      </c>
      <c r="G58" s="221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2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3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3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4"/>
      <c r="N58" s="224"/>
      <c r="O58" s="224"/>
      <c r="P58" s="225" t="s">
        <v>78</v>
      </c>
      <c r="Q58" s="226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7" t="n">
        <f aca="false">IF(ISERROR(S58*K58),0,S58*K58)</f>
        <v>0</v>
      </c>
      <c r="W58" s="228"/>
      <c r="X58" s="229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30"/>
      <c r="D59" s="218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19" t="n">
        <f aca="false">IF(D59="",0,VLOOKUP(D59,D$22:D58,1,0))</f>
        <v>0</v>
      </c>
      <c r="F59" s="220" t="str">
        <f aca="false">IF(AND(OR(A59="",A59="!!!!!!"),B59="",C59=""),"",IF(OR(AND(B59="",C59=""),ISERROR(C59+B59)),"!!!",($B59*$B$7+$C59*$C$7)/100))</f>
        <v/>
      </c>
      <c r="G59" s="221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2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3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3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4"/>
      <c r="N59" s="224"/>
      <c r="O59" s="224"/>
      <c r="P59" s="225" t="s">
        <v>78</v>
      </c>
      <c r="Q59" s="226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7" t="n">
        <f aca="false">IF(ISERROR(S59*K59),0,S59*K59)</f>
        <v>0</v>
      </c>
      <c r="W59" s="228"/>
      <c r="X59" s="229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30"/>
      <c r="D60" s="218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19" t="n">
        <f aca="false">IF(D60="",0,VLOOKUP(D60,D$22:D59,1,0))</f>
        <v>0</v>
      </c>
      <c r="F60" s="220" t="str">
        <f aca="false">IF(AND(OR(A60="",A60="!!!!!!"),B60="",C60=""),"",IF(OR(AND(B60="",C60=""),ISERROR(C60+B60)),"!!!",($B60*$B$7+$C60*$C$7)/100))</f>
        <v/>
      </c>
      <c r="G60" s="221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2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3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3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4"/>
      <c r="N60" s="224"/>
      <c r="O60" s="224"/>
      <c r="P60" s="225" t="s">
        <v>78</v>
      </c>
      <c r="Q60" s="226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7" t="n">
        <f aca="false">IF(ISERROR(S60*K60),0,S60*K60)</f>
        <v>0</v>
      </c>
      <c r="W60" s="228"/>
      <c r="X60" s="229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30"/>
      <c r="D61" s="218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19" t="n">
        <f aca="false">IF(D61="",0,VLOOKUP(D61,D$22:D60,1,0))</f>
        <v>0</v>
      </c>
      <c r="F61" s="220" t="str">
        <f aca="false">IF(AND(OR(A61="",A61="!!!!!!"),B61="",C61=""),"",IF(OR(AND(B61="",C61=""),ISERROR(C61+B61)),"!!!",($B61*$B$7+$C61*$C$7)/100))</f>
        <v/>
      </c>
      <c r="G61" s="221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2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3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3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4"/>
      <c r="N61" s="224"/>
      <c r="O61" s="224"/>
      <c r="P61" s="225" t="s">
        <v>78</v>
      </c>
      <c r="Q61" s="226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7" t="n">
        <f aca="false">IF(ISERROR(S61*K61),0,S61*K61)</f>
        <v>0</v>
      </c>
      <c r="W61" s="228"/>
      <c r="X61" s="229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30"/>
      <c r="D62" s="218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19" t="n">
        <f aca="false">IF(D62="",0,VLOOKUP(D62,D$22:D61,1,0))</f>
        <v>0</v>
      </c>
      <c r="F62" s="220" t="str">
        <f aca="false">IF(AND(OR(A62="",A62="!!!!!!"),B62="",C62=""),"",IF(OR(AND(B62="",C62=""),ISERROR(C62+B62)),"!!!",($B62*$B$7+$C62*$C$7)/100))</f>
        <v/>
      </c>
      <c r="G62" s="221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2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3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3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4"/>
      <c r="N62" s="224"/>
      <c r="O62" s="224"/>
      <c r="P62" s="225" t="s">
        <v>78</v>
      </c>
      <c r="Q62" s="226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7" t="n">
        <f aca="false">IF(ISERROR(S62*K62),0,S62*K62)</f>
        <v>0</v>
      </c>
      <c r="W62" s="228"/>
      <c r="X62" s="229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30"/>
      <c r="D63" s="218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19" t="n">
        <f aca="false">IF(D63="",0,VLOOKUP(D63,D$22:D62,1,0))</f>
        <v>0</v>
      </c>
      <c r="F63" s="220" t="str">
        <f aca="false">IF(AND(OR(A63="",A63="!!!!!!"),B63="",C63=""),"",IF(OR(AND(B63="",C63=""),ISERROR(C63+B63)),"!!!",($B63*$B$7+$C63*$C$7)/100))</f>
        <v/>
      </c>
      <c r="G63" s="221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2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3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3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4"/>
      <c r="N63" s="224"/>
      <c r="O63" s="224"/>
      <c r="P63" s="225" t="s">
        <v>78</v>
      </c>
      <c r="Q63" s="226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7" t="n">
        <f aca="false">IF(ISERROR(S63*K63),0,S63*K63)</f>
        <v>0</v>
      </c>
      <c r="W63" s="228"/>
      <c r="X63" s="229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30"/>
      <c r="D64" s="218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19" t="n">
        <f aca="false">IF(D64="",0,VLOOKUP(D64,D$22:D63,1,0))</f>
        <v>0</v>
      </c>
      <c r="F64" s="220" t="str">
        <f aca="false">IF(AND(OR(A64="",A64="!!!!!!"),B64="",C64=""),"",IF(OR(AND(B64="",C64=""),ISERROR(C64+B64)),"!!!",($B64*$B$7+$C64*$C$7)/100))</f>
        <v/>
      </c>
      <c r="G64" s="221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2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3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3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4"/>
      <c r="N64" s="224"/>
      <c r="O64" s="224"/>
      <c r="P64" s="225" t="s">
        <v>78</v>
      </c>
      <c r="Q64" s="226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7" t="n">
        <f aca="false">IF(ISERROR(S64*K64),0,S64*K64)</f>
        <v>0</v>
      </c>
      <c r="W64" s="228"/>
      <c r="X64" s="229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30"/>
      <c r="D65" s="218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19" t="n">
        <f aca="false">IF(D65="",0,VLOOKUP(D65,D$22:D64,1,0))</f>
        <v>0</v>
      </c>
      <c r="F65" s="220" t="str">
        <f aca="false">IF(AND(OR(A65="",A65="!!!!!!"),B65="",C65=""),"",IF(OR(AND(B65="",C65=""),ISERROR(C65+B65)),"!!!",($B65*$B$7+$C65*$C$7)/100))</f>
        <v/>
      </c>
      <c r="G65" s="221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2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3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3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4"/>
      <c r="N65" s="224"/>
      <c r="O65" s="224"/>
      <c r="P65" s="225" t="s">
        <v>78</v>
      </c>
      <c r="Q65" s="226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7" t="n">
        <f aca="false">IF(ISERROR(S65*K65),0,S65*K65)</f>
        <v>0</v>
      </c>
      <c r="W65" s="228"/>
      <c r="X65" s="229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30"/>
      <c r="D66" s="218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19" t="n">
        <f aca="false">IF(D66="",0,VLOOKUP(D66,D$22:D65,1,0))</f>
        <v>0</v>
      </c>
      <c r="F66" s="220" t="str">
        <f aca="false">IF(AND(OR(A66="",A66="!!!!!!"),B66="",C66=""),"",IF(OR(AND(B66="",C66=""),ISERROR(C66+B66)),"!!!",($B66*$B$7+$C66*$C$7)/100))</f>
        <v/>
      </c>
      <c r="G66" s="221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2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3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3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4"/>
      <c r="N66" s="224"/>
      <c r="O66" s="224"/>
      <c r="P66" s="225" t="s">
        <v>78</v>
      </c>
      <c r="Q66" s="226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7" t="n">
        <f aca="false">IF(ISERROR(S66*K66),0,S66*K66)</f>
        <v>0</v>
      </c>
      <c r="W66" s="228"/>
      <c r="X66" s="229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30"/>
      <c r="D67" s="218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19" t="n">
        <f aca="false">IF(D67="",0,VLOOKUP(D67,D$22:D66,1,0))</f>
        <v>0</v>
      </c>
      <c r="F67" s="220" t="str">
        <f aca="false">IF(AND(OR(A67="",A67="!!!!!!"),B67="",C67=""),"",IF(OR(AND(B67="",C67=""),ISERROR(C67+B67)),"!!!",($B67*$B$7+$C67*$C$7)/100))</f>
        <v/>
      </c>
      <c r="G67" s="221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2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3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3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4"/>
      <c r="N67" s="224"/>
      <c r="O67" s="224"/>
      <c r="P67" s="225" t="s">
        <v>78</v>
      </c>
      <c r="Q67" s="226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7" t="n">
        <f aca="false">IF(ISERROR(S67*K67),0,S67*K67)</f>
        <v>0</v>
      </c>
      <c r="W67" s="228"/>
      <c r="X67" s="229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30"/>
      <c r="D68" s="218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19" t="n">
        <f aca="false">IF(D68="",0,VLOOKUP(D68,D$22:D67,1,0))</f>
        <v>0</v>
      </c>
      <c r="F68" s="220" t="str">
        <f aca="false">IF(AND(OR(A68="",A68="!!!!!!"),B68="",C68=""),"",IF(OR(AND(B68="",C68=""),ISERROR(C68+B68)),"!!!",($B68*$B$7+$C68*$C$7)/100))</f>
        <v/>
      </c>
      <c r="G68" s="221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2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3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3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4"/>
      <c r="N68" s="224"/>
      <c r="O68" s="224"/>
      <c r="P68" s="225" t="s">
        <v>78</v>
      </c>
      <c r="Q68" s="226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7" t="n">
        <f aca="false">IF(ISERROR(S68*K68),0,S68*K68)</f>
        <v>0</v>
      </c>
      <c r="W68" s="228"/>
      <c r="X68" s="229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30"/>
      <c r="D69" s="218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19" t="n">
        <f aca="false">IF(D69="",0,VLOOKUP(D69,D$22:D68,1,0))</f>
        <v>0</v>
      </c>
      <c r="F69" s="220" t="str">
        <f aca="false">IF(AND(OR(A69="",A69="!!!!!!"),B69="",C69=""),"",IF(OR(AND(B69="",C69=""),ISERROR(C69+B69)),"!!!",($B69*$B$7+$C69*$C$7)/100))</f>
        <v/>
      </c>
      <c r="G69" s="221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2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3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3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4"/>
      <c r="N69" s="224"/>
      <c r="O69" s="224"/>
      <c r="P69" s="225" t="s">
        <v>78</v>
      </c>
      <c r="Q69" s="226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7" t="n">
        <f aca="false">IF(ISERROR(S69*K69),0,S69*K69)</f>
        <v>0</v>
      </c>
      <c r="W69" s="228"/>
      <c r="X69" s="229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30"/>
      <c r="D70" s="218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19" t="n">
        <f aca="false">IF(D70="",0,VLOOKUP(D70,D$22:D69,1,0))</f>
        <v>0</v>
      </c>
      <c r="F70" s="220" t="str">
        <f aca="false">IF(AND(OR(A70="",A70="!!!!!!"),B70="",C70=""),"",IF(OR(AND(B70="",C70=""),ISERROR(C70+B70)),"!!!",($B70*$B$7+$C70*$C$7)/100))</f>
        <v/>
      </c>
      <c r="G70" s="221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2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3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3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4"/>
      <c r="N70" s="224"/>
      <c r="O70" s="224"/>
      <c r="P70" s="225" t="s">
        <v>78</v>
      </c>
      <c r="Q70" s="226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7" t="n">
        <f aca="false">IF(ISERROR(S70*K70),0,S70*K70)</f>
        <v>0</v>
      </c>
      <c r="W70" s="228"/>
      <c r="X70" s="229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30"/>
      <c r="D71" s="218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19" t="n">
        <f aca="false">IF(D71="",0,VLOOKUP(D71,D$22:D70,1,0))</f>
        <v>0</v>
      </c>
      <c r="F71" s="220" t="str">
        <f aca="false">IF(AND(OR(A71="",A71="!!!!!!"),B71="",C71=""),"",IF(OR(AND(B71="",C71=""),ISERROR(C71+B71)),"!!!",($B71*$B$7+$C71*$C$7)/100))</f>
        <v/>
      </c>
      <c r="G71" s="221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2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3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3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4"/>
      <c r="N71" s="224"/>
      <c r="O71" s="224"/>
      <c r="P71" s="225" t="s">
        <v>78</v>
      </c>
      <c r="Q71" s="226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7" t="n">
        <f aca="false">IF(ISERROR(S71*K71),0,S71*K71)</f>
        <v>0</v>
      </c>
      <c r="W71" s="228"/>
      <c r="X71" s="229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30"/>
      <c r="D72" s="218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19" t="n">
        <f aca="false">IF(D72="",0,VLOOKUP(D72,D$22:D71,1,0))</f>
        <v>0</v>
      </c>
      <c r="F72" s="220" t="str">
        <f aca="false">IF(AND(OR(A72="",A72="!!!!!!"),B72="",C72=""),"",IF(OR(AND(B72="",C72=""),ISERROR(C72+B72)),"!!!",($B72*$B$7+$C72*$C$7)/100))</f>
        <v/>
      </c>
      <c r="G72" s="221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2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3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3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4"/>
      <c r="N72" s="224"/>
      <c r="O72" s="224"/>
      <c r="P72" s="225" t="s">
        <v>78</v>
      </c>
      <c r="Q72" s="226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7" t="n">
        <f aca="false">IF(ISERROR(S72*K72),0,S72*K72)</f>
        <v>0</v>
      </c>
      <c r="W72" s="228"/>
      <c r="X72" s="229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30"/>
      <c r="D73" s="218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19" t="n">
        <f aca="false">IF(D73="",0,VLOOKUP(D73,D$22:D72,1,0))</f>
        <v>0</v>
      </c>
      <c r="F73" s="220" t="str">
        <f aca="false">IF(AND(OR(A73="",A73="!!!!!!"),B73="",C73=""),"",IF(OR(AND(B73="",C73=""),ISERROR(C73+B73)),"!!!",($B73*$B$7+$C73*$C$7)/100))</f>
        <v/>
      </c>
      <c r="G73" s="221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2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3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3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4"/>
      <c r="N73" s="224"/>
      <c r="O73" s="224"/>
      <c r="P73" s="225" t="s">
        <v>78</v>
      </c>
      <c r="Q73" s="226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7" t="n">
        <f aca="false">IF(ISERROR(S73*K73),0,S73*K73)</f>
        <v>0</v>
      </c>
      <c r="W73" s="228"/>
      <c r="X73" s="229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30"/>
      <c r="D74" s="218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19" t="n">
        <f aca="false">IF(D74="",0,VLOOKUP(D74,D$22:D73,1,0))</f>
        <v>0</v>
      </c>
      <c r="F74" s="220" t="str">
        <f aca="false">IF(AND(OR(A74="",A74="!!!!!!"),B74="",C74=""),"",IF(OR(AND(B74="",C74=""),ISERROR(C74+B74)),"!!!",($B74*$B$7+$C74*$C$7)/100))</f>
        <v/>
      </c>
      <c r="G74" s="221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2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3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3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4"/>
      <c r="N74" s="224"/>
      <c r="O74" s="224"/>
      <c r="P74" s="225" t="s">
        <v>78</v>
      </c>
      <c r="Q74" s="226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7" t="n">
        <f aca="false">IF(ISERROR(S74*K74),0,S74*K74)</f>
        <v>0</v>
      </c>
      <c r="W74" s="228"/>
      <c r="X74" s="229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30"/>
      <c r="D75" s="218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19" t="n">
        <f aca="false">IF(D75="",0,VLOOKUP(D75,D$22:D74,1,0))</f>
        <v>0</v>
      </c>
      <c r="F75" s="220" t="str">
        <f aca="false">IF(AND(OR(A75="",A75="!!!!!!"),B75="",C75=""),"",IF(OR(AND(B75="",C75=""),ISERROR(C75+B75)),"!!!",($B75*$B$7+$C75*$C$7)/100))</f>
        <v/>
      </c>
      <c r="G75" s="221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2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3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3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4"/>
      <c r="N75" s="224"/>
      <c r="O75" s="224"/>
      <c r="P75" s="225" t="s">
        <v>78</v>
      </c>
      <c r="Q75" s="226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7" t="n">
        <f aca="false">IF(ISERROR(S75*K75),0,S75*K75)</f>
        <v>0</v>
      </c>
      <c r="W75" s="228"/>
      <c r="X75" s="229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30"/>
      <c r="D76" s="218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19" t="n">
        <f aca="false">IF(D76="",0,VLOOKUP(D76,D$22:D75,1,0))</f>
        <v>0</v>
      </c>
      <c r="F76" s="220" t="str">
        <f aca="false">IF(AND(OR(A76="",A76="!!!!!!"),B76="",C76=""),"",IF(OR(AND(B76="",C76=""),ISERROR(C76+B76)),"!!!",($B76*$B$7+$C76*$C$7)/100))</f>
        <v/>
      </c>
      <c r="G76" s="221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2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3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3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4"/>
      <c r="N76" s="224"/>
      <c r="O76" s="224"/>
      <c r="P76" s="225" t="s">
        <v>78</v>
      </c>
      <c r="Q76" s="226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7" t="n">
        <f aca="false">IF(ISERROR(S76*K76),0,S76*K76)</f>
        <v>0</v>
      </c>
      <c r="W76" s="228"/>
      <c r="X76" s="229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30"/>
      <c r="D77" s="218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19" t="n">
        <f aca="false">IF(D77="",0,VLOOKUP(D77,D$22:D76,1,0))</f>
        <v>0</v>
      </c>
      <c r="F77" s="220" t="str">
        <f aca="false">IF(AND(OR(A77="",A77="!!!!!!"),B77="",C77=""),"",IF(OR(AND(B77="",C77=""),ISERROR(C77+B77)),"!!!",($B77*$B$7+$C77*$C$7)/100))</f>
        <v/>
      </c>
      <c r="G77" s="221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2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3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3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4"/>
      <c r="N77" s="224"/>
      <c r="O77" s="224"/>
      <c r="P77" s="225" t="s">
        <v>78</v>
      </c>
      <c r="Q77" s="226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7" t="n">
        <f aca="false">IF(ISERROR(S77*K77),0,S77*K77)</f>
        <v>0</v>
      </c>
      <c r="W77" s="228"/>
      <c r="X77" s="229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30"/>
      <c r="D78" s="218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19" t="n">
        <f aca="false">IF(D78="",0,VLOOKUP(D78,D$22:D77,1,0))</f>
        <v>0</v>
      </c>
      <c r="F78" s="220" t="str">
        <f aca="false">IF(AND(OR(A78="",A78="!!!!!!"),B78="",C78=""),"",IF(OR(AND(B78="",C78=""),ISERROR(C78+B78)),"!!!",($B78*$B$7+$C78*$C$7)/100))</f>
        <v/>
      </c>
      <c r="G78" s="221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2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3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3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4"/>
      <c r="N78" s="224"/>
      <c r="O78" s="224"/>
      <c r="P78" s="225" t="s">
        <v>78</v>
      </c>
      <c r="Q78" s="226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7" t="n">
        <f aca="false">IF(ISERROR(S78*K78),0,S78*K78)</f>
        <v>0</v>
      </c>
      <c r="W78" s="228"/>
      <c r="X78" s="229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30"/>
      <c r="D79" s="218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19" t="n">
        <f aca="false">IF(D79="",0,VLOOKUP(D79,D$22:D78,1,0))</f>
        <v>0</v>
      </c>
      <c r="F79" s="220" t="str">
        <f aca="false">IF(AND(OR(A79="",A79="!!!!!!"),B79="",C79=""),"",IF(OR(AND(B79="",C79=""),ISERROR(C79+B79)),"!!!",($B79*$B$7+$C79*$C$7)/100))</f>
        <v/>
      </c>
      <c r="G79" s="221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2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3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3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4"/>
      <c r="N79" s="224"/>
      <c r="O79" s="224"/>
      <c r="P79" s="225" t="s">
        <v>78</v>
      </c>
      <c r="Q79" s="226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7" t="n">
        <f aca="false">IF(ISERROR(S79*K79),0,S79*K79)</f>
        <v>0</v>
      </c>
      <c r="W79" s="228"/>
      <c r="X79" s="229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30"/>
      <c r="D80" s="218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19" t="n">
        <f aca="false">IF(D80="",0,VLOOKUP(D80,D$22:D79,1,0))</f>
        <v>0</v>
      </c>
      <c r="F80" s="220" t="str">
        <f aca="false">IF(AND(OR(A80="",A80="!!!!!!"),B80="",C80=""),"",IF(OR(AND(B80="",C80=""),ISERROR(C80+B80)),"!!!",($B80*$B$7+$C80*$C$7)/100))</f>
        <v/>
      </c>
      <c r="G80" s="221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2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3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3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4"/>
      <c r="N80" s="224"/>
      <c r="O80" s="224"/>
      <c r="P80" s="225" t="s">
        <v>78</v>
      </c>
      <c r="Q80" s="226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7" t="n">
        <f aca="false">IF(ISERROR(S80*K80),0,S80*K80)</f>
        <v>0</v>
      </c>
      <c r="W80" s="228"/>
      <c r="X80" s="229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30"/>
      <c r="D81" s="218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19" t="n">
        <f aca="false">IF(D81="",0,VLOOKUP(D81,D$22:D80,1,0))</f>
        <v>0</v>
      </c>
      <c r="F81" s="220" t="str">
        <f aca="false">IF(AND(OR(A81="",A81="!!!!!!"),B81="",C81=""),"",IF(OR(AND(B81="",C81=""),ISERROR(C81+B81)),"!!!",($B81*$B$7+$C81*$C$7)/100))</f>
        <v/>
      </c>
      <c r="G81" s="221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2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3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3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4"/>
      <c r="N81" s="224"/>
      <c r="O81" s="224"/>
      <c r="P81" s="225" t="s">
        <v>78</v>
      </c>
      <c r="Q81" s="226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7" t="n">
        <f aca="false">IF(ISERROR(S81*K81),0,S81*K81)</f>
        <v>0</v>
      </c>
      <c r="W81" s="228"/>
      <c r="X81" s="229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78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21.4803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51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Saône</v>
      </c>
      <c r="B84" s="180" t="str">
        <f aca="false">C3</f>
        <v>Saône à St Symphorien d'Ancelle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8.03921568627451</v>
      </c>
      <c r="E84" s="254" t="n">
        <f aca="false">O13</f>
        <v>18</v>
      </c>
      <c r="F84" s="180" t="n">
        <f aca="false">O14</f>
        <v>16</v>
      </c>
      <c r="G84" s="180" t="n">
        <f aca="false">O15</f>
        <v>3</v>
      </c>
      <c r="H84" s="180" t="n">
        <f aca="false">O16</f>
        <v>10</v>
      </c>
      <c r="I84" s="180" t="n">
        <f aca="false">O17</f>
        <v>3</v>
      </c>
      <c r="J84" s="255" t="n">
        <f aca="false">O8</f>
        <v>7.8125</v>
      </c>
      <c r="K84" s="256" t="n">
        <f aca="false">O9</f>
        <v>2.98367956557</v>
      </c>
      <c r="L84" s="257" t="n">
        <f aca="false">O10</f>
        <v>2</v>
      </c>
      <c r="M84" s="257" t="n">
        <f aca="false">O11</f>
        <v>13</v>
      </c>
      <c r="N84" s="256" t="n">
        <f aca="false">P8</f>
        <v>2</v>
      </c>
      <c r="O84" s="256" t="n">
        <f aca="false">P9</f>
        <v>0.612372435695795</v>
      </c>
      <c r="P84" s="257" t="n">
        <f aca="false">P10</f>
        <v>1</v>
      </c>
      <c r="Q84" s="257" t="n">
        <f aca="false">P11</f>
        <v>3</v>
      </c>
      <c r="R84" s="257" t="n">
        <f aca="false">F21</f>
        <v>21.4803</v>
      </c>
      <c r="S84" s="257" t="n">
        <f aca="false">L11</f>
        <v>0</v>
      </c>
      <c r="T84" s="257" t="n">
        <f aca="false">L12</f>
        <v>3</v>
      </c>
      <c r="U84" s="257" t="n">
        <f aca="false">L13</f>
        <v>3</v>
      </c>
      <c r="V84" s="258" t="n">
        <f aca="false">L15</f>
        <v>12</v>
      </c>
      <c r="W84" s="259" t="n">
        <f aca="false">L15</f>
        <v>12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95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96</v>
      </c>
      <c r="S87" s="8"/>
      <c r="T87" s="263" t="n">
        <f aca="false">VLOOKUP($T$91,($A$23:$U$82),20,FALSE())</f>
        <v>32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97</v>
      </c>
      <c r="S88" s="8"/>
      <c r="T88" s="263" t="n">
        <f aca="false">VLOOKUP($T$91,($A$23:$U$82),21,FALSE())</f>
        <v>64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98</v>
      </c>
      <c r="S89" s="8"/>
      <c r="T89" s="263" t="n">
        <f aca="false">MAX($V$23:$V$82)</f>
        <v>8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99</v>
      </c>
      <c r="S90" s="8" t="s">
        <v>10</v>
      </c>
      <c r="T90" s="264" t="n">
        <f aca="false">IF(OR(ISERROR(SUM($U$23:$U$82)/SUM($V$23:$V$82)),F7&lt;&gt;100),-1,(SUM($U$23:$U$82)-T88)/(SUM($V$23:$V$82)-T89))</f>
        <v>8.04651162790698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100</v>
      </c>
      <c r="S91" s="212"/>
      <c r="T91" s="212" t="str">
        <f aca="false">INDEX('[1]liste reference'!$A$6:$A$1174,$U$91)</f>
        <v>VALSPI</v>
      </c>
      <c r="U91" s="8" t="n">
        <f aca="false">IF(ISERROR(MATCH($T$93,'[1]liste reference'!$A$6:$A$1174,0)),MATCH($T$93,'[1]liste reference'!$B$6:$B$1174,0),(MATCH($T$93,'[1]liste reference'!$A$6:$A$1174,0)))</f>
        <v>613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101</v>
      </c>
      <c r="S92" s="8"/>
      <c r="T92" s="8" t="n">
        <f aca="false">MATCH(T89,$V$23:$V$82,0)</f>
        <v>14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102</v>
      </c>
      <c r="S93" s="8"/>
      <c r="T93" s="212" t="str">
        <f aca="false">INDEX($A$23:$A$82,$T$92)</f>
        <v>VALSPI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2016-04-06T12:52:21Z</dcterms:created>
  <dc:creator>laurianne isebe</dc:creator>
  <dc:description/>
  <dc:language>fr-FR</dc:language>
  <cp:lastModifiedBy>laurianne isebe</cp:lastModifiedBy>
  <dcterms:modified xsi:type="dcterms:W3CDTF">2016-04-06T12:52:24Z</dcterms:modified>
  <cp:revision>0</cp:revision>
  <dc:subject/>
  <dc:title/>
</cp:coreProperties>
</file>