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<sst xmlns="http://schemas.openxmlformats.org/spreadsheetml/2006/main" count="171" uniqueCount="105">
  <si>
    <t xml:space="preserve">Relevés floristiques aquatiques - IBMR</t>
  </si>
  <si>
    <t xml:space="preserve">modèle Irstea-GIS</t>
  </si>
  <si>
    <t xml:space="preserve">SAGE ENVIRONNEMENT</t>
  </si>
  <si>
    <t xml:space="preserve">LBOURGOIN CBERNARD</t>
  </si>
  <si>
    <t xml:space="preserve">OUVEZE</t>
  </si>
  <si>
    <t xml:space="preserve">OUVEZE A ROMPON 2</t>
  </si>
  <si>
    <t xml:space="preserve">06820013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</si>
  <si>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</si>
  <si>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</si>
  <si>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</si>
  <si>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</si>
  <si>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</si>
  <si>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</si>
  <si>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</si>
  <si>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</si>
  <si>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</si>
  <si>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MICSPX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</si>
  <si>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</si>
  <si>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</si>
  <si>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</si>
  <si>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</si>
  <si>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</si>
  <si>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</si>
  <si>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</si>
  <si>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</si>
  <si>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</si>
  <si>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</si>
  <si>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</si>
  <si>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</si>
  <si>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</si>
  <si>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</si>
  <si>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</si>
  <si>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</si>
  <si>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</si>
  <si>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</si>
  <si>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</si>
  <si>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</si>
  <si>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</si>
  <si>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</si>
  <si>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</si>
  <si>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</si>
  <si>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</si>
  <si>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</si>
  <si>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</si>
  <si>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</si>
  <si>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</si>
  <si>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</si>
  <si>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</si>
  <si>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</si>
  <si>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</si>
  <si>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</si>
  <si>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</si>
  <si>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</si>
  <si>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</si>
  <si>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</si>
  <si>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</si>
  <si>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</si>
  <si>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</si>
  <si>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</si>
  <si>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</si>
  <si>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</si>
  <si>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</si>
  <si>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</si>
  <si>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</si>
  <si>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</si>
  <si>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</si>
  <si>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</si>
  <si>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</si>
  <si>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</si>
  <si>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</si>
  <si>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</si>
  <si>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</si>
  <si>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</si>
  <si>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</si>
  <si>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</si>
  <si>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</si>
  <si>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</si>
  <si>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</si>
  <si>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</si>
  <si>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</si>
  <si>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</si>
  <si>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DIASPX</t>
  </si>
  <si>
    <t xml:space="preserve">NOSSPX</t>
  </si>
  <si>
    <t xml:space="preserve">SPISPX</t>
  </si>
  <si>
    <t xml:space="preserve">TETSPX</t>
  </si>
  <si>
    <t xml:space="preserve">ULOSPX</t>
  </si>
  <si>
    <t xml:space="preserve">ZYGSPX</t>
  </si>
  <si>
    <t xml:space="preserve">EQUSPX</t>
  </si>
  <si>
    <t xml:space="preserve">GLYFLU</t>
  </si>
  <si>
    <t xml:space="preserve">MENLON</t>
  </si>
  <si>
    <t xml:space="preserve">PHAARU</t>
  </si>
  <si>
    <t xml:space="preserve">SCISYL</t>
  </si>
  <si>
    <t xml:space="preserve">SPAERE</t>
  </si>
  <si>
    <t xml:space="preserve">JUNEFF</t>
  </si>
  <si>
    <t xml:space="preserve">JUNSPX</t>
  </si>
  <si>
    <t xml:space="preserve">LYTSAL</t>
  </si>
  <si>
    <t xml:space="preserve">SCPHOL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</si>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</sst>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OUPON_21-05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42145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10.8</v>
      </c>
      <c r="N5" s="51"/>
      <c r="O5" s="52" t="s">
        <v>16</v>
      </c>
      <c r="P5" s="53" t="n">
        <v>10.5714285714286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70</v>
      </c>
      <c r="C7" s="69" t="n">
        <v>30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10.6666666666667</v>
      </c>
      <c r="P8" s="83" t="n">
        <f aca="false">IF(ISERROR(AVERAGE(K23:K82)),"  ",AVERAGE(K23:K82))</f>
        <v>1.5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4.55</v>
      </c>
      <c r="C9" s="86" t="n">
        <v>27.5</v>
      </c>
      <c r="D9" s="87"/>
      <c r="E9" s="87"/>
      <c r="F9" s="88" t="n">
        <f aca="false">($B9*$B$7+$C9*$C$7)/100</f>
        <v>11.435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2.0138409955991</v>
      </c>
      <c r="P9" s="83" t="n">
        <f aca="false">IF(ISERROR(STDEVP(K23:K82)),"  ",STDEVP(K23:K82))</f>
        <v>0.645497224367903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6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14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4.51</v>
      </c>
      <c r="C12" s="111" t="n">
        <v>27.115</v>
      </c>
      <c r="D12" s="87"/>
      <c r="E12" s="87"/>
      <c r="F12" s="104" t="n">
        <f aca="false">($B12*$B$7+$C12*$C$7)/100</f>
        <v>11.2915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8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/>
      <c r="C13" s="111"/>
      <c r="D13" s="87"/>
      <c r="E13" s="87"/>
      <c r="F13" s="104" t="n">
        <f aca="false">($B13*$B$7+$C13*$C$7)/100</f>
        <v>0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0</v>
      </c>
      <c r="M13" s="108"/>
      <c r="N13" s="116" t="s">
        <v>41</v>
      </c>
      <c r="O13" s="117" t="n">
        <f aca="false">COUNTIF(F23:F82,"&gt;0")</f>
        <v>18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1</v>
      </c>
      <c r="M14" s="108"/>
      <c r="N14" s="119" t="s">
        <v>44</v>
      </c>
      <c r="O14" s="120" t="n">
        <f aca="false">COUNTIF($J$23:$J$82,"&gt;-1")</f>
        <v>12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 t="n">
        <v>0.04</v>
      </c>
      <c r="C15" s="124" t="n">
        <v>0.38</v>
      </c>
      <c r="D15" s="87"/>
      <c r="E15" s="87"/>
      <c r="F15" s="104" t="n">
        <f aca="false">($B15*$B$7+$C15*$C$7)/100</f>
        <v>0.142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9</v>
      </c>
      <c r="M15" s="108"/>
      <c r="N15" s="116" t="s">
        <v>47</v>
      </c>
      <c r="O15" s="117" t="n">
        <f aca="false">COUNTIF(K23:K82,"=1")</f>
        <v>7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4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4.55</v>
      </c>
      <c r="C17" s="111" t="n">
        <v>27.46</v>
      </c>
      <c r="D17" s="87"/>
      <c r="E17" s="87"/>
      <c r="F17" s="129"/>
      <c r="G17" s="130" t="n">
        <f aca="false">($B17*$B$7+$C17*$C$7)/100</f>
        <v>11.423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0.666666666666667</v>
      </c>
      <c r="N17" s="116" t="s">
        <v>52</v>
      </c>
      <c r="O17" s="117" t="n">
        <f aca="false">COUNTIF(K23:K82,"=3")</f>
        <v>1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 t="n">
        <v>0.04</v>
      </c>
      <c r="D18" s="87"/>
      <c r="E18" s="139" t="s">
        <v>54</v>
      </c>
      <c r="F18" s="129"/>
      <c r="G18" s="130" t="n">
        <f aca="false">($B18*$B$7+$C18*$C$7)/100</f>
        <v>0.012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11.4335</v>
      </c>
      <c r="G19" s="150" t="n">
        <f aca="false">SUM(G16:G18)</f>
        <v>11.435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4.55</v>
      </c>
      <c r="C20" s="160" t="n">
        <f aca="false">SUM(C23:C62)</f>
        <v>27.495</v>
      </c>
      <c r="D20" s="161"/>
      <c r="E20" s="162" t="s">
        <v>54</v>
      </c>
      <c r="F20" s="163" t="n">
        <f aca="false">($B20*$B$7+$C20*$C$7)/100</f>
        <v>11.4335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3.185</v>
      </c>
      <c r="C21" s="171" t="n">
        <f aca="false">C20*C7/100</f>
        <v>8.2485</v>
      </c>
      <c r="D21" s="172" t="s">
        <v>57</v>
      </c>
      <c r="E21" s="173"/>
      <c r="F21" s="174" t="n">
        <f aca="false">B21+C21</f>
        <v>11.4335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4</v>
      </c>
      <c r="C23" s="200" t="n">
        <v>22.82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9.646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9.646</v>
      </c>
      <c r="S23" s="212" t="n">
        <f aca="false">IF(OR(ISTEXT(H23),R23=0),"",IF(R23&lt;0.1,1,IF(R23&lt;1,2,IF(R23&lt;10,3,IF(R23&lt;50,4,IF(R23&gt;=50,5,""))))))</f>
        <v>3</v>
      </c>
      <c r="T23" s="212" t="n">
        <f aca="false">IF(ISERROR(S23*J23),0,S23*J23)</f>
        <v>18</v>
      </c>
      <c r="U23" s="212" t="n">
        <f aca="false">IF(ISERROR(S23*J23*K23),0,S23*J23*K23)</f>
        <v>18</v>
      </c>
      <c r="V23" s="212" t="n">
        <f aca="false">IF(ISERROR(S23*K23),0,S23*K23)</f>
        <v>3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81</v>
      </c>
      <c r="B24" s="217" t="n">
        <v>0</v>
      </c>
      <c r="C24" s="218" t="n">
        <v>0.26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Diatoma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0.078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12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Diatoma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6627</v>
      </c>
      <c r="R24" s="211" t="n">
        <f aca="false">IF(ISTEXT(H24),"",(B24*$B$7/100)+(C24*$C$7/100))</f>
        <v>0.078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12</v>
      </c>
      <c r="U24" s="212" t="n">
        <f aca="false">IF(ISERROR(S24*J24*K24),0,S24*J24*K24)</f>
        <v>24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DIASPX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40</v>
      </c>
    </row>
    <row r="25" customFormat="false" ht="12.75" hidden="false" customHeight="false" outlineLevel="0" collapsed="false">
      <c r="A25" s="216" t="s">
        <v>16</v>
      </c>
      <c r="B25" s="217" t="n">
        <v>0</v>
      </c>
      <c r="C25" s="218" t="n">
        <v>1.95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Microspora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0.585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12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Microspora sp.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1132</v>
      </c>
      <c r="R25" s="211" t="n">
        <f aca="false">IF(ISTEXT(H25),"",(B25*$B$7/100)+(C25*$C$7/100))</f>
        <v>0.585</v>
      </c>
      <c r="S25" s="212" t="n">
        <f aca="false">IF(OR(ISTEXT(H25),R25=0),"",IF(R25&lt;0.1,1,IF(R25&lt;1,2,IF(R25&lt;10,3,IF(R25&lt;50,4,IF(R25&gt;=50,5,""))))))</f>
        <v>2</v>
      </c>
      <c r="T25" s="212" t="n">
        <f aca="false">IF(ISERROR(S25*J25),0,S25*J25)</f>
        <v>24</v>
      </c>
      <c r="U25" s="212" t="n">
        <f aca="false">IF(ISERROR(S25*J25*K25),0,S25*J25*K25)</f>
        <v>48</v>
      </c>
      <c r="V25" s="228" t="n">
        <f aca="false">IF(ISERROR(S25*K25),0,S25*K25)</f>
        <v>4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MICSPX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66</v>
      </c>
    </row>
    <row r="26" customFormat="false" ht="12.75" hidden="false" customHeight="false" outlineLevel="0" collapsed="false">
      <c r="A26" s="216" t="s">
        <v>82</v>
      </c>
      <c r="B26" s="217" t="n">
        <v>0.01</v>
      </c>
      <c r="C26" s="218" t="n">
        <v>0.01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Nostoc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0.01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9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Nostoc sp.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1105</v>
      </c>
      <c r="R26" s="211" t="n">
        <f aca="false">IF(ISTEXT(H26),"",(B26*$B$7/100)+(C26*$C$7/100))</f>
        <v>0.01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9</v>
      </c>
      <c r="U26" s="212" t="n">
        <f aca="false">IF(ISERROR(S26*J26*K26),0,S26*J26*K26)</f>
        <v>9</v>
      </c>
      <c r="V26" s="228" t="n">
        <f aca="false">IF(ISERROR(S26*K26),0,S26*K26)</f>
        <v>1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NOSSPX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84</v>
      </c>
    </row>
    <row r="27" customFormat="false" ht="12.75" hidden="false" customHeight="false" outlineLevel="0" collapsed="false">
      <c r="A27" s="216" t="s">
        <v>83</v>
      </c>
      <c r="B27" s="217" t="n">
        <v>0</v>
      </c>
      <c r="C27" s="218" t="n">
        <v>0.45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Spirogyra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0.135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10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1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Spirogyra sp.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1147</v>
      </c>
      <c r="R27" s="211" t="n">
        <f aca="false">IF(ISTEXT(H27),"",(B27*$B$7/100)+(C27*$C$7/100))</f>
        <v>0.135</v>
      </c>
      <c r="S27" s="212" t="n">
        <f aca="false">IF(OR(ISTEXT(H27),R27=0),"",IF(R27&lt;0.1,1,IF(R27&lt;1,2,IF(R27&lt;10,3,IF(R27&lt;50,4,IF(R27&gt;=50,5,""))))))</f>
        <v>2</v>
      </c>
      <c r="T27" s="212" t="n">
        <f aca="false">IF(ISERROR(S27*J27),0,S27*J27)</f>
        <v>20</v>
      </c>
      <c r="U27" s="212" t="n">
        <f aca="false">IF(ISERROR(S27*J27*K27),0,S27*J27*K27)</f>
        <v>20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SPISPX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102</v>
      </c>
    </row>
    <row r="28" customFormat="false" ht="12.75" hidden="false" customHeight="false" outlineLevel="0" collapsed="false">
      <c r="A28" s="216" t="s">
        <v>84</v>
      </c>
      <c r="B28" s="217" t="n">
        <v>0.5</v>
      </c>
      <c r="C28" s="218" t="n">
        <v>1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Tetraspora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0.65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12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1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Tetraspora sp.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1138</v>
      </c>
      <c r="R28" s="211" t="n">
        <f aca="false">IF(ISTEXT(H28),"",(B28*$B$7/100)+(C28*$C$7/100))</f>
        <v>0.65</v>
      </c>
      <c r="S28" s="212" t="n">
        <f aca="false">IF(OR(ISTEXT(H28),R28=0),"",IF(R28&lt;0.1,1,IF(R28&lt;1,2,IF(R28&lt;10,3,IF(R28&lt;50,4,IF(R28&gt;=50,5,""))))))</f>
        <v>2</v>
      </c>
      <c r="T28" s="212" t="n">
        <f aca="false">IF(ISERROR(S28*J28),0,S28*J28)</f>
        <v>24</v>
      </c>
      <c r="U28" s="212" t="n">
        <f aca="false">IF(ISERROR(S28*J28*K28),0,S28*J28*K28)</f>
        <v>24</v>
      </c>
      <c r="V28" s="228" t="n">
        <f aca="false">IF(ISERROR(S28*K28),0,S28*K28)</f>
        <v>2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TETSPX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107</v>
      </c>
    </row>
    <row r="29" customFormat="false" ht="12.75" hidden="false" customHeight="false" outlineLevel="0" collapsed="false">
      <c r="A29" s="216" t="s">
        <v>85</v>
      </c>
      <c r="B29" s="217" t="n">
        <v>0</v>
      </c>
      <c r="C29" s="218" t="n">
        <v>0.5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Ulothrix sp.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0.15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ALG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2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10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1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Ulothrix sp.</v>
      </c>
      <c r="M29" s="225"/>
      <c r="N29" s="225"/>
      <c r="O29" s="225"/>
      <c r="P29" s="226" t="s">
        <v>80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1142</v>
      </c>
      <c r="R29" s="211" t="n">
        <f aca="false">IF(ISTEXT(H29),"",(B29*$B$7/100)+(C29*$C$7/100))</f>
        <v>0.15</v>
      </c>
      <c r="S29" s="212" t="n">
        <f aca="false">IF(OR(ISTEXT(H29),R29=0),"",IF(R29&lt;0.1,1,IF(R29&lt;1,2,IF(R29&lt;10,3,IF(R29&lt;50,4,IF(R29&gt;=50,5,""))))))</f>
        <v>2</v>
      </c>
      <c r="T29" s="212" t="n">
        <f aca="false">IF(ISERROR(S29*J29),0,S29*J29)</f>
        <v>20</v>
      </c>
      <c r="U29" s="212" t="n">
        <f aca="false">IF(ISERROR(S29*J29*K29),0,S29*J29*K29)</f>
        <v>20</v>
      </c>
      <c r="V29" s="228" t="n">
        <f aca="false">IF(ISERROR(S29*K29),0,S29*K29)</f>
        <v>2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ULOSPX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116</v>
      </c>
    </row>
    <row r="30" customFormat="false" ht="12.75" hidden="false" customHeight="false" outlineLevel="0" collapsed="false">
      <c r="A30" s="216" t="s">
        <v>86</v>
      </c>
      <c r="B30" s="217" t="n">
        <v>0</v>
      </c>
      <c r="C30" s="218" t="n">
        <v>0.125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Zygnema sp.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0.0375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ALG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2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13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3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Zygnema sp.</v>
      </c>
      <c r="M30" s="225"/>
      <c r="N30" s="225"/>
      <c r="O30" s="225"/>
      <c r="P30" s="226" t="s">
        <v>80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1148</v>
      </c>
      <c r="R30" s="211" t="n">
        <f aca="false">IF(ISTEXT(H30),"",(B30*$B$7/100)+(C30*$C$7/100))</f>
        <v>0.0375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13</v>
      </c>
      <c r="U30" s="212" t="n">
        <f aca="false">IF(ISERROR(S30*J30*K30),0,S30*J30*K30)</f>
        <v>39</v>
      </c>
      <c r="V30" s="228" t="n">
        <f aca="false">IF(ISERROR(S30*K30),0,S30*K30)</f>
        <v>3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ZYGSPX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119</v>
      </c>
    </row>
    <row r="31" customFormat="false" ht="12.75" hidden="false" customHeight="false" outlineLevel="0" collapsed="false">
      <c r="A31" s="216" t="s">
        <v>87</v>
      </c>
      <c r="B31" s="217" t="n">
        <v>0</v>
      </c>
      <c r="C31" s="218" t="n">
        <v>0.01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Equisetum sp.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0.003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PTE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6</v>
      </c>
      <c r="I31" s="8" t="n">
        <f aca="false">IF(A31="","",1)</f>
        <v>1</v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nc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nc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Equisetum sp.</v>
      </c>
      <c r="M31" s="225"/>
      <c r="N31" s="225"/>
      <c r="O31" s="225"/>
      <c r="P31" s="226" t="s">
        <v>80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1383</v>
      </c>
      <c r="R31" s="211" t="n">
        <f aca="false">IF(ISTEXT(H31),"",(B31*$B$7/100)+(C31*$C$7/100))</f>
        <v>0.003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EQUSPX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391</v>
      </c>
    </row>
    <row r="32" customFormat="false" ht="12.75" hidden="false" customHeight="false" outlineLevel="0" collapsed="false">
      <c r="A32" s="216" t="s">
        <v>88</v>
      </c>
      <c r="B32" s="217" t="n">
        <v>0.01</v>
      </c>
      <c r="C32" s="218" t="n">
        <v>0.2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Glyceria fluitans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0.067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PHe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8</v>
      </c>
      <c r="I32" s="8" t="n">
        <f aca="false">IF(A32="","",1)</f>
        <v>1</v>
      </c>
      <c r="J32" s="224" t="n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14</v>
      </c>
      <c r="K32" s="224" t="n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2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Glyceria fluitans</v>
      </c>
      <c r="M32" s="225"/>
      <c r="N32" s="225"/>
      <c r="O32" s="225"/>
      <c r="P32" s="226" t="s">
        <v>80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1564</v>
      </c>
      <c r="R32" s="211" t="n">
        <f aca="false">IF(ISTEXT(H32),"",(B32*$B$7/100)+(C32*$C$7/100))</f>
        <v>0.067</v>
      </c>
      <c r="S32" s="212" t="n">
        <f aca="false">IF(OR(ISTEXT(H32),R32=0),"",IF(R32&lt;0.1,1,IF(R32&lt;1,2,IF(R32&lt;10,3,IF(R32&lt;50,4,IF(R32&gt;=50,5,""))))))</f>
        <v>1</v>
      </c>
      <c r="T32" s="212" t="n">
        <f aca="false">IF(ISERROR(S32*J32),0,S32*J32)</f>
        <v>14</v>
      </c>
      <c r="U32" s="212" t="n">
        <f aca="false">IF(ISERROR(S32*J32*K32),0,S32*J32*K32)</f>
        <v>28</v>
      </c>
      <c r="V32" s="228" t="n">
        <f aca="false">IF(ISERROR(S32*K32),0,S32*K32)</f>
        <v>2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GLYFLU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676</v>
      </c>
    </row>
    <row r="33" customFormat="false" ht="12.75" hidden="false" customHeight="false" outlineLevel="0" collapsed="false">
      <c r="A33" s="216" t="s">
        <v>89</v>
      </c>
      <c r="B33" s="217" t="n">
        <v>0</v>
      </c>
      <c r="C33" s="218" t="n">
        <v>0.01</v>
      </c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Mentha longifolia</v>
      </c>
      <c r="E33" s="220" t="e">
        <f aca="false">IF(D33="",0,VLOOKUP(D33,D$22:D32,1,0))</f>
        <v>#N/A</v>
      </c>
      <c r="F33" s="221" t="n">
        <f aca="false">IF(AND(OR(A33="",A33="!!!!!!"),B33="",C33=""),"",IF(OR(AND(B33="",C33=""),ISERROR(C33+B33)),"!!!",($B33*$B$7+$C33*$C$7)/100))</f>
        <v>0.003</v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PHe</v>
      </c>
      <c r="H33" s="223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8</v>
      </c>
      <c r="I33" s="8" t="n">
        <f aca="false">IF(A33="","",1)</f>
        <v>1</v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nc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nc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Mentha longifolia</v>
      </c>
      <c r="M33" s="225"/>
      <c r="N33" s="225"/>
      <c r="O33" s="225"/>
      <c r="P33" s="226" t="s">
        <v>80</v>
      </c>
      <c r="Q33" s="227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19856</v>
      </c>
      <c r="R33" s="211" t="n">
        <f aca="false">IF(ISTEXT(H33),"",(B33*$B$7/100)+(C33*$C$7/100))</f>
        <v>0.003</v>
      </c>
      <c r="S33" s="212" t="n">
        <f aca="false">IF(OR(ISTEXT(H33),R33=0),"",IF(R33&lt;0.1,1,IF(R33&lt;1,2,IF(R33&lt;10,3,IF(R33&lt;50,4,IF(R33&gt;=50,5,""))))))</f>
        <v>1</v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>MENLON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695</v>
      </c>
    </row>
    <row r="34" customFormat="false" ht="12.75" hidden="false" customHeight="false" outlineLevel="0" collapsed="false">
      <c r="A34" s="216" t="s">
        <v>90</v>
      </c>
      <c r="B34" s="217" t="n">
        <v>0.01</v>
      </c>
      <c r="C34" s="218" t="n">
        <v>0.01</v>
      </c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>Phalaris arundinacea</v>
      </c>
      <c r="E34" s="220" t="e">
        <f aca="false">IF(D34="",0,VLOOKUP(D34,D$22:D33,1,0))</f>
        <v>#N/A</v>
      </c>
      <c r="F34" s="221" t="n">
        <f aca="false">IF(AND(OR(A34="",A34="!!!!!!"),B34="",C34=""),"",IF(OR(AND(B34="",C34=""),ISERROR(C34+B34)),"!!!",($B34*$B$7+$C34*$C$7)/100))</f>
        <v>0.01</v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>PHe</v>
      </c>
      <c r="H34" s="223" t="n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8</v>
      </c>
      <c r="I34" s="8" t="n">
        <f aca="false">IF(A34="","",1)</f>
        <v>1</v>
      </c>
      <c r="J34" s="224" t="n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10</v>
      </c>
      <c r="K34" s="224" t="n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1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>Phalaris arundinacea</v>
      </c>
      <c r="M34" s="225"/>
      <c r="N34" s="225"/>
      <c r="O34" s="225"/>
      <c r="P34" s="226" t="s">
        <v>80</v>
      </c>
      <c r="Q34" s="227" t="n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>1577</v>
      </c>
      <c r="R34" s="211" t="n">
        <f aca="false">IF(ISTEXT(H34),"",(B34*$B$7/100)+(C34*$C$7/100))</f>
        <v>0.01</v>
      </c>
      <c r="S34" s="212" t="n">
        <f aca="false">IF(OR(ISTEXT(H34),R34=0),"",IF(R34&lt;0.1,1,IF(R34&lt;1,2,IF(R34&lt;10,3,IF(R34&lt;50,4,IF(R34&gt;=50,5,""))))))</f>
        <v>1</v>
      </c>
      <c r="T34" s="212" t="n">
        <f aca="false">IF(ISERROR(S34*J34),0,S34*J34)</f>
        <v>10</v>
      </c>
      <c r="U34" s="212" t="n">
        <f aca="false">IF(ISERROR(S34*J34*K34),0,S34*J34*K34)</f>
        <v>10</v>
      </c>
      <c r="V34" s="228" t="n">
        <f aca="false">IF(ISERROR(S34*K34),0,S34*K34)</f>
        <v>1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>PHAARU</v>
      </c>
      <c r="Z34" s="197" t="n">
        <f aca="false">IF(ISERROR(MATCH(A34,'[1]liste reference'!$A$6:$A$1174,0)),IF(ISERROR(MATCH(A34,'[1]liste reference'!$B$6:$B$1174,0)),"",(MATCH(A34,'[1]liste reference'!$B$6:$B$1174,0))),(MATCH(A34,'[1]liste reference'!$A$6:$A$1174,0)))</f>
        <v>707</v>
      </c>
    </row>
    <row r="35" customFormat="false" ht="12.75" hidden="false" customHeight="false" outlineLevel="0" collapsed="false">
      <c r="A35" s="216" t="s">
        <v>91</v>
      </c>
      <c r="B35" s="217" t="n">
        <v>0</v>
      </c>
      <c r="C35" s="218" t="n">
        <v>0.01</v>
      </c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>Scirpus sylvaticus</v>
      </c>
      <c r="E35" s="220" t="e">
        <f aca="false">IF(D35="",0,VLOOKUP(D35,D$22:D34,1,0))</f>
        <v>#N/A</v>
      </c>
      <c r="F35" s="221" t="n">
        <f aca="false">IF(AND(OR(A35="",A35="!!!!!!"),B35="",C35=""),"",IF(OR(AND(B35="",C35=""),ISERROR(C35+B35)),"!!!",($B35*$B$7+$C35*$C$7)/100))</f>
        <v>0.003</v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>PHe</v>
      </c>
      <c r="H35" s="223" t="n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8</v>
      </c>
      <c r="I35" s="8" t="n">
        <f aca="false">IF(A35="","",1)</f>
        <v>1</v>
      </c>
      <c r="J35" s="224" t="n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10</v>
      </c>
      <c r="K35" s="224" t="n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2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>Scirpus sylvaticus</v>
      </c>
      <c r="M35" s="225"/>
      <c r="N35" s="225"/>
      <c r="O35" s="225"/>
      <c r="P35" s="226" t="s">
        <v>80</v>
      </c>
      <c r="Q35" s="227" t="n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>1525</v>
      </c>
      <c r="R35" s="211" t="n">
        <f aca="false">IF(ISTEXT(H35),"",(B35*$B$7/100)+(C35*$C$7/100))</f>
        <v>0.003</v>
      </c>
      <c r="S35" s="212" t="n">
        <f aca="false">IF(OR(ISTEXT(H35),R35=0),"",IF(R35&lt;0.1,1,IF(R35&lt;1,2,IF(R35&lt;10,3,IF(R35&lt;50,4,IF(R35&gt;=50,5,""))))))</f>
        <v>1</v>
      </c>
      <c r="T35" s="212" t="n">
        <f aca="false">IF(ISERROR(S35*J35),0,S35*J35)</f>
        <v>10</v>
      </c>
      <c r="U35" s="212" t="n">
        <f aca="false">IF(ISERROR(S35*J35*K35),0,S35*J35*K35)</f>
        <v>20</v>
      </c>
      <c r="V35" s="228" t="n">
        <f aca="false">IF(ISERROR(S35*K35),0,S35*K35)</f>
        <v>2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>SCISYL</v>
      </c>
      <c r="Z35" s="197" t="n">
        <f aca="false">IF(ISERROR(MATCH(A35,'[1]liste reference'!$A$6:$A$1174,0)),IF(ISERROR(MATCH(A35,'[1]liste reference'!$B$6:$B$1174,0)),"",(MATCH(A35,'[1]liste reference'!$B$6:$B$1174,0))),(MATCH(A35,'[1]liste reference'!$A$6:$A$1174,0)))</f>
        <v>730</v>
      </c>
    </row>
    <row r="36" customFormat="false" ht="12.75" hidden="false" customHeight="false" outlineLevel="0" collapsed="false">
      <c r="A36" s="216" t="s">
        <v>92</v>
      </c>
      <c r="B36" s="217" t="n">
        <v>0.01</v>
      </c>
      <c r="C36" s="218" t="n">
        <v>0.1</v>
      </c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>Sparganium erectum</v>
      </c>
      <c r="E36" s="220" t="e">
        <f aca="false">IF(D36="",0,VLOOKUP(D36,D$22:D35,1,0))</f>
        <v>#N/A</v>
      </c>
      <c r="F36" s="221" t="n">
        <f aca="false">IF(AND(OR(A36="",A36="!!!!!!"),B36="",C36=""),"",IF(OR(AND(B36="",C36=""),ISERROR(C36+B36)),"!!!",($B36*$B$7+$C36*$C$7)/100))</f>
        <v>0.037</v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>PHe</v>
      </c>
      <c r="H36" s="223" t="n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8</v>
      </c>
      <c r="I36" s="8" t="n">
        <f aca="false">IF(A36="","",1)</f>
        <v>1</v>
      </c>
      <c r="J36" s="224" t="n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10</v>
      </c>
      <c r="K36" s="224" t="n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1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>Sparganium erectum</v>
      </c>
      <c r="M36" s="225"/>
      <c r="N36" s="225"/>
      <c r="O36" s="225"/>
      <c r="P36" s="226" t="s">
        <v>80</v>
      </c>
      <c r="Q36" s="227" t="n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>1671</v>
      </c>
      <c r="R36" s="211" t="n">
        <f aca="false">IF(ISTEXT(H36),"",(B36*$B$7/100)+(C36*$C$7/100))</f>
        <v>0.037</v>
      </c>
      <c r="S36" s="212" t="n">
        <f aca="false">IF(OR(ISTEXT(H36),R36=0),"",IF(R36&lt;0.1,1,IF(R36&lt;1,2,IF(R36&lt;10,3,IF(R36&lt;50,4,IF(R36&gt;=50,5,""))))))</f>
        <v>1</v>
      </c>
      <c r="T36" s="212" t="n">
        <f aca="false">IF(ISERROR(S36*J36),0,S36*J36)</f>
        <v>10</v>
      </c>
      <c r="U36" s="212" t="n">
        <f aca="false">IF(ISERROR(S36*J36*K36),0,S36*J36*K36)</f>
        <v>10</v>
      </c>
      <c r="V36" s="228" t="n">
        <f aca="false">IF(ISERROR(S36*K36),0,S36*K36)</f>
        <v>1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>SPAERE</v>
      </c>
      <c r="Z36" s="197" t="n">
        <f aca="false">IF(ISERROR(MATCH(A36,'[1]liste reference'!$A$6:$A$1174,0)),IF(ISERROR(MATCH(A36,'[1]liste reference'!$B$6:$B$1174,0)),"",(MATCH(A36,'[1]liste reference'!$B$6:$B$1174,0))),(MATCH(A36,'[1]liste reference'!$A$6:$A$1174,0)))</f>
        <v>732</v>
      </c>
    </row>
    <row r="37" customFormat="false" ht="12.75" hidden="false" customHeight="false" outlineLevel="0" collapsed="false">
      <c r="A37" s="216" t="s">
        <v>93</v>
      </c>
      <c r="B37" s="217" t="n">
        <v>0</v>
      </c>
      <c r="C37" s="218" t="n">
        <v>0.01</v>
      </c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>Juncus effusus</v>
      </c>
      <c r="E37" s="220" t="e">
        <f aca="false">IF(D37="",0,VLOOKUP(D37,D$22:D36,1,0))</f>
        <v>#N/A</v>
      </c>
      <c r="F37" s="221" t="n">
        <f aca="false">IF(AND(OR(A37="",A37="!!!!!!"),B37="",C37=""),"",IF(OR(AND(B37="",C37=""),ISERROR(C37+B37)),"!!!",($B37*$B$7+$C37*$C$7)/100))</f>
        <v>0.003</v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>PHg</v>
      </c>
      <c r="H37" s="223" t="n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9</v>
      </c>
      <c r="I37" s="8" t="n">
        <f aca="false">IF(A37="","",1)</f>
        <v>1</v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nc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nc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>Juncus effusus</v>
      </c>
      <c r="M37" s="225"/>
      <c r="N37" s="225"/>
      <c r="O37" s="225"/>
      <c r="P37" s="226" t="s">
        <v>80</v>
      </c>
      <c r="Q37" s="227" t="n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>1613</v>
      </c>
      <c r="R37" s="211" t="n">
        <f aca="false">IF(ISTEXT(H37),"",(B37*$B$7/100)+(C37*$C$7/100))</f>
        <v>0.003</v>
      </c>
      <c r="S37" s="212" t="n">
        <f aca="false">IF(OR(ISTEXT(H37),R37=0),"",IF(R37&lt;0.1,1,IF(R37&lt;1,2,IF(R37&lt;10,3,IF(R37&lt;50,4,IF(R37&gt;=50,5,""))))))</f>
        <v>1</v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>JUNEFF</v>
      </c>
      <c r="Z37" s="197" t="n">
        <f aca="false">IF(ISERROR(MATCH(A37,'[1]liste reference'!$A$6:$A$1174,0)),IF(ISERROR(MATCH(A37,'[1]liste reference'!$B$6:$B$1174,0)),"",(MATCH(A37,'[1]liste reference'!$B$6:$B$1174,0))),(MATCH(A37,'[1]liste reference'!$A$6:$A$1174,0)))</f>
        <v>876</v>
      </c>
    </row>
    <row r="38" customFormat="false" ht="12.75" hidden="false" customHeight="false" outlineLevel="0" collapsed="false">
      <c r="A38" s="216" t="s">
        <v>94</v>
      </c>
      <c r="B38" s="217" t="n">
        <v>0</v>
      </c>
      <c r="C38" s="218" t="n">
        <v>0.01</v>
      </c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>Juncus sp.</v>
      </c>
      <c r="E38" s="220" t="e">
        <f aca="false">IF(D38="",0,VLOOKUP(D38,D$22:D37,1,0))</f>
        <v>#N/A</v>
      </c>
      <c r="F38" s="221" t="n">
        <f aca="false">IF(AND(OR(A38="",A38="!!!!!!"),B38="",C38=""),"",IF(OR(AND(B38="",C38=""),ISERROR(C38+B38)),"!!!",($B38*$B$7+$C38*$C$7)/100))</f>
        <v>0.003</v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>PHg</v>
      </c>
      <c r="H38" s="223" t="n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9</v>
      </c>
      <c r="I38" s="8" t="n">
        <f aca="false">IF(A38="","",1)</f>
        <v>1</v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nc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nc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>Juncus sp.</v>
      </c>
      <c r="M38" s="225"/>
      <c r="N38" s="225"/>
      <c r="O38" s="225"/>
      <c r="P38" s="226" t="s">
        <v>80</v>
      </c>
      <c r="Q38" s="227" t="n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>1606</v>
      </c>
      <c r="R38" s="211" t="n">
        <f aca="false">IF(ISTEXT(H38),"",(B38*$B$7/100)+(C38*$C$7/100))</f>
        <v>0.003</v>
      </c>
      <c r="S38" s="212" t="n">
        <f aca="false">IF(OR(ISTEXT(H38),R38=0),"",IF(R38&lt;0.1,1,IF(R38&lt;1,2,IF(R38&lt;10,3,IF(R38&lt;50,4,IF(R38&gt;=50,5,""))))))</f>
        <v>1</v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>JUNSPX</v>
      </c>
      <c r="Z38" s="197" t="n">
        <f aca="false">IF(ISERROR(MATCH(A38,'[1]liste reference'!$A$6:$A$1174,0)),IF(ISERROR(MATCH(A38,'[1]liste reference'!$B$6:$B$1174,0)),"",(MATCH(A38,'[1]liste reference'!$B$6:$B$1174,0))),(MATCH(A38,'[1]liste reference'!$A$6:$A$1174,0)))</f>
        <v>881</v>
      </c>
    </row>
    <row r="39" customFormat="false" ht="12.75" hidden="false" customHeight="false" outlineLevel="0" collapsed="false">
      <c r="A39" s="216" t="s">
        <v>95</v>
      </c>
      <c r="B39" s="217" t="n">
        <v>0.01</v>
      </c>
      <c r="C39" s="218" t="n">
        <v>0.01</v>
      </c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>Lythrum salicaria</v>
      </c>
      <c r="E39" s="220" t="e">
        <f aca="false">IF(D39="",0,VLOOKUP(D39,D$22:D38,1,0))</f>
        <v>#N/A</v>
      </c>
      <c r="F39" s="221" t="n">
        <f aca="false">IF(AND(OR(A39="",A39="!!!!!!"),B39="",C39=""),"",IF(OR(AND(B39="",C39=""),ISERROR(C39+B39)),"!!!",($B39*$B$7+$C39*$C$7)/100))</f>
        <v>0.01</v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>PHg</v>
      </c>
      <c r="H39" s="223" t="n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9</v>
      </c>
      <c r="I39" s="8" t="n">
        <f aca="false">IF(A39="","",1)</f>
        <v>1</v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nc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nc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>Lythrum salicaria</v>
      </c>
      <c r="M39" s="225"/>
      <c r="N39" s="225"/>
      <c r="O39" s="225"/>
      <c r="P39" s="226" t="s">
        <v>80</v>
      </c>
      <c r="Q39" s="227" t="n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>1823</v>
      </c>
      <c r="R39" s="211" t="n">
        <f aca="false">IF(ISTEXT(H39),"",(B39*$B$7/100)+(C39*$C$7/100))</f>
        <v>0.01</v>
      </c>
      <c r="S39" s="212" t="n">
        <f aca="false">IF(OR(ISTEXT(H39),R39=0),"",IF(R39&lt;0.1,1,IF(R39&lt;1,2,IF(R39&lt;10,3,IF(R39&lt;50,4,IF(R39&gt;=50,5,""))))))</f>
        <v>1</v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>LYTSAL</v>
      </c>
      <c r="Z39" s="197" t="n">
        <f aca="false">IF(ISERROR(MATCH(A39,'[1]liste reference'!$A$6:$A$1174,0)),IF(ISERROR(MATCH(A39,'[1]liste reference'!$B$6:$B$1174,0)),"",(MATCH(A39,'[1]liste reference'!$B$6:$B$1174,0))),(MATCH(A39,'[1]liste reference'!$A$6:$A$1174,0)))</f>
        <v>902</v>
      </c>
    </row>
    <row r="40" customFormat="false" ht="12.75" hidden="false" customHeight="false" outlineLevel="0" collapsed="false">
      <c r="A40" s="216" t="s">
        <v>96</v>
      </c>
      <c r="B40" s="217" t="n">
        <v>0</v>
      </c>
      <c r="C40" s="218" t="n">
        <v>0.01</v>
      </c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>Scirpoides holoschoenus</v>
      </c>
      <c r="E40" s="220" t="e">
        <f aca="false">IF(D40="",0,VLOOKUP(D40,D$22:D39,1,0))</f>
        <v>#N/A</v>
      </c>
      <c r="F40" s="221" t="n">
        <f aca="false">IF(AND(OR(A40="",A40="!!!!!!"),B40="",C40=""),"",IF(OR(AND(B40="",C40=""),ISERROR(C40+B40)),"!!!",($B40*$B$7+$C40*$C$7)/100))</f>
        <v>0.003</v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>PHg</v>
      </c>
      <c r="H40" s="223" t="n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9</v>
      </c>
      <c r="I40" s="8" t="n">
        <f aca="false">IF(A40="","",1)</f>
        <v>1</v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nc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nc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>Scirpoides holoschoenus</v>
      </c>
      <c r="M40" s="225"/>
      <c r="N40" s="225"/>
      <c r="O40" s="225"/>
      <c r="P40" s="226" t="s">
        <v>80</v>
      </c>
      <c r="Q40" s="227" t="n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>19685</v>
      </c>
      <c r="R40" s="211" t="n">
        <f aca="false">IF(ISTEXT(H40),"",(B40*$B$7/100)+(C40*$C$7/100))</f>
        <v>0.003</v>
      </c>
      <c r="S40" s="212" t="n">
        <f aca="false">IF(OR(ISTEXT(H40),R40=0),"",IF(R40&lt;0.1,1,IF(R40&lt;1,2,IF(R40&lt;10,3,IF(R40&lt;50,4,IF(R40&gt;=50,5,""))))))</f>
        <v>1</v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>SCPHOL</v>
      </c>
      <c r="Z40" s="197" t="n">
        <f aca="false">IF(ISERROR(MATCH(A40,'[1]liste reference'!$A$6:$A$1174,0)),IF(ISERROR(MATCH(A40,'[1]liste reference'!$B$6:$B$1174,0)),"",(MATCH(A40,'[1]liste reference'!$B$6:$B$1174,0))),(MATCH(A40,'[1]liste reference'!$A$6:$A$1174,0)))</f>
        <v>961</v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11.4335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25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OUVEZE</v>
      </c>
      <c r="B84" s="180" t="str">
        <f aca="false">C3</f>
        <v>OUVEZE A ROMPON 2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10.8</v>
      </c>
      <c r="E84" s="254" t="n">
        <f aca="false">O13</f>
        <v>18</v>
      </c>
      <c r="F84" s="180" t="n">
        <f aca="false">O14</f>
        <v>12</v>
      </c>
      <c r="G84" s="180" t="n">
        <f aca="false">O15</f>
        <v>7</v>
      </c>
      <c r="H84" s="180" t="n">
        <f aca="false">O16</f>
        <v>4</v>
      </c>
      <c r="I84" s="180" t="n">
        <f aca="false">O17</f>
        <v>1</v>
      </c>
      <c r="J84" s="255" t="n">
        <f aca="false">O8</f>
        <v>10.6666666666667</v>
      </c>
      <c r="K84" s="256" t="n">
        <f aca="false">O9</f>
        <v>2.0138409955991</v>
      </c>
      <c r="L84" s="257" t="n">
        <f aca="false">O10</f>
        <v>6</v>
      </c>
      <c r="M84" s="257" t="n">
        <f aca="false">O11</f>
        <v>14</v>
      </c>
      <c r="N84" s="256" t="n">
        <f aca="false">P8</f>
        <v>1.5</v>
      </c>
      <c r="O84" s="256" t="n">
        <f aca="false">P9</f>
        <v>0.645497224367903</v>
      </c>
      <c r="P84" s="257" t="n">
        <f aca="false">P10</f>
        <v>1</v>
      </c>
      <c r="Q84" s="257" t="n">
        <f aca="false">P11</f>
        <v>3</v>
      </c>
      <c r="R84" s="257" t="n">
        <f aca="false">F21</f>
        <v>11.4335</v>
      </c>
      <c r="S84" s="257" t="n">
        <f aca="false">L11</f>
        <v>0</v>
      </c>
      <c r="T84" s="257" t="n">
        <f aca="false">L12</f>
        <v>8</v>
      </c>
      <c r="U84" s="257" t="n">
        <f aca="false">L13</f>
        <v>0</v>
      </c>
      <c r="V84" s="258" t="n">
        <f aca="false">L15</f>
        <v>9</v>
      </c>
      <c r="W84" s="259" t="n">
        <f aca="false">L15</f>
        <v>9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97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98</v>
      </c>
      <c r="S87" s="8"/>
      <c r="T87" s="263" t="n">
        <f aca="false">VLOOKUP($T$91,($A$23:$U$82),20,FALSE())</f>
        <v>24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99</v>
      </c>
      <c r="S88" s="8"/>
      <c r="T88" s="263" t="n">
        <f aca="false">VLOOKUP($T$91,($A$23:$U$82),21,FALSE())</f>
        <v>48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100</v>
      </c>
      <c r="S89" s="8"/>
      <c r="T89" s="263" t="n">
        <f aca="false">MAX($V$23:$V$82)</f>
        <v>4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101</v>
      </c>
      <c r="S90" s="8" t="s">
        <v>10</v>
      </c>
      <c r="T90" s="264" t="n">
        <f aca="false">IF(OR(ISERROR(SUM($U$23:$U$82)/SUM($V$23:$V$82)),F7&lt;&gt;100),-1,(SUM($U$23:$U$82)-T88)/(SUM($V$23:$V$82)-T89))</f>
        <v>10.5714285714286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102</v>
      </c>
      <c r="S91" s="212"/>
      <c r="T91" s="212" t="str">
        <f aca="false">INDEX('[1]liste reference'!$A$6:$A$1174,$U$91)</f>
        <v>MICSPX</v>
      </c>
      <c r="U91" s="8" t="n">
        <f aca="false">IF(ISERROR(MATCH($T$93,'[1]liste reference'!$A$6:$A$1174,0)),MATCH($T$93,'[1]liste reference'!$B$6:$B$1174,0),(MATCH($T$93,'[1]liste reference'!$A$6:$A$1174,0)))</f>
        <v>66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103</v>
      </c>
      <c r="S92" s="8"/>
      <c r="T92" s="8" t="n">
        <f aca="false">MATCH(T89,$V$23:$V$82,0)</f>
        <v>3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104</v>
      </c>
      <c r="S93" s="8"/>
      <c r="T93" s="212" t="str">
        <f aca="false">INDEX($A$23:$A$82,$T$92)</f>
        <v>MICSPX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2015-12-28T16:22:13Z</dcterms:created>
  <dc:creator>Laboratoire hydrobiologie SAGE</dc:creator>
  <dc:description/>
  <dc:language>fr-FR</dc:language>
  <cp:lastModifiedBy>Laboratoire hydrobiologie SAGE</cp:lastModifiedBy>
  <dcterms:modified xsi:type="dcterms:W3CDTF">2015-12-28T16:22:15Z</dcterms:modified>
  <cp:revision>0</cp:revision>
  <dc:subject/>
  <dc:title/>
</cp:coreProperties>
</file>