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VAREZE Cour et Buis" sheetId="1" state="visible" r:id="rId3"/>
  </sheets>
  <externalReferences>
    <externalReference r:id="rId4"/>
  </externalReferences>
  <definedNames>
    <definedName function="false" hidden="false" localSheetId="0" name="_xlnm.Print_Area" vbProcedure="false">'VAREZE Cour et Buis'!$A$1:$O$82</definedName>
    <definedName function="false" hidden="false" localSheetId="0" name="Excel_BuiltIn__FilterDatabase" vbProcedure="false">'VAREZE Cour et Buis'!$A$23:$J$84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<sst xmlns="http://schemas.openxmlformats.org/spreadsheetml/2006/main" count="96" uniqueCount="89">
  <si>
    <t xml:space="preserve">Relevés floristiques aquatiques - IBMR</t>
  </si>
  <si>
    <t xml:space="preserve">GIS Macrophytes - juillet 2006</t>
  </si>
  <si>
    <t xml:space="preserve">AQUASCOP</t>
  </si>
  <si>
    <t xml:space="preserve">JFS-TD</t>
  </si>
  <si>
    <t xml:space="preserve">conforme AFNOR T90-395 oct. 2003</t>
  </si>
  <si>
    <t xml:space="preserve">VAREZE</t>
  </si>
  <si>
    <t xml:space="preserve">Cour et Buis</t>
  </si>
  <si>
    <t xml:space="preserve">06820073</t>
  </si>
  <si>
    <t xml:space="preserve">RCS</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</si>
  <si>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</si>
  <si>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</si>
  <si>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</si>
  <si>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</si>
  <si>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</si>
  <si>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</si>
  <si>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</si>
  <si>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</si>
  <si>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radier</t>
  </si>
  <si>
    <t xml:space="preserve">pl. lent</t>
  </si>
  <si>
    <t xml:space="preserve">niv. trophique:</t>
  </si>
  <si>
    <t xml:space="preserve">moyen</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</si>
  <si>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</si>
  <si>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</si>
  <si>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</si>
  <si>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</si>
  <si>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</si>
  <si>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</si>
  <si>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</si>
  <si>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</si>
  <si>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</si>
  <si>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</si>
  <si>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</si>
  <si>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</si>
  <si>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</si>
  <si>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</si>
  <si>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</si>
  <si>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</si>
  <si>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</si>
  <si>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</si>
  <si>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</si>
  <si>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</si>
  <si>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</si>
  <si>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</si>
  <si>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</si>
  <si>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</si>
  <si>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</si>
  <si>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</si>
  <si>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</si>
  <si>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</si>
  <si>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</si>
  <si>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</si>
  <si>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</si>
  <si>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</si>
  <si>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</si>
  <si>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</si>
  <si>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</si>
  <si>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</si>
  <si>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</si>
  <si>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</si>
  <si>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</si>
  <si>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</si>
  <si>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</si>
  <si>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</si>
  <si>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</si>
  <si>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</si>
  <si>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</si>
  <si>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</si>
  <si>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</si>
  <si>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</si>
  <si>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</si>
  <si>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</si>
  <si>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</si>
  <si>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</si>
  <si>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</si>
  <si>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</si>
  <si>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NEWCOD</t>
  </si>
  <si>
    <t xml:space="preserve">Phormidium sp.</t>
  </si>
  <si>
    <t xml:space="preserve">Cf.</t>
  </si>
  <si>
    <t xml:space="preserve">POR.COR</t>
  </si>
  <si>
    <t xml:space="preserve">EQU.ARV</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</si>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</sst>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39686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v>
      </c>
      <c r="M5" s="51"/>
      <c r="N5" s="52" t="s">
        <v>15</v>
      </c>
      <c r="O5" s="53" t="n">
        <v>6</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10.5</v>
      </c>
      <c r="O8" s="82" t="n">
        <f aca="false">AVERAGE(J23:J82)</f>
        <v>1.5</v>
      </c>
      <c r="P8" s="8"/>
      <c r="Q8" s="8"/>
      <c r="R8" s="8"/>
      <c r="S8" s="8"/>
      <c r="T8" s="8"/>
      <c r="U8" s="8"/>
      <c r="V8" s="20"/>
      <c r="W8" s="21"/>
    </row>
    <row r="9" customFormat="false" ht="12.75" hidden="false" customHeight="false" outlineLevel="0" collapsed="false">
      <c r="A9" s="83" t="s">
        <v>28</v>
      </c>
      <c r="B9" s="84" t="n">
        <v>0.03</v>
      </c>
      <c r="C9" s="85" t="n">
        <v>0.02</v>
      </c>
      <c r="D9" s="86"/>
      <c r="E9" s="86"/>
      <c r="F9" s="87" t="n">
        <f aca="false">($B9*$B$7+$C9*$C$7)/100</f>
        <v>0.027</v>
      </c>
      <c r="G9" s="88"/>
      <c r="H9" s="89"/>
      <c r="I9" s="90"/>
      <c r="J9" s="91"/>
      <c r="K9" s="71"/>
      <c r="L9" s="92"/>
      <c r="M9" s="80" t="s">
        <v>29</v>
      </c>
      <c r="N9" s="81" t="n">
        <f aca="false">STDEV(I23:I82)</f>
        <v>6.36396103067893</v>
      </c>
      <c r="O9" s="82" t="n">
        <f aca="false">STDEV(J23:J82)</f>
        <v>0.707106781186548</v>
      </c>
      <c r="P9" s="8"/>
      <c r="Q9" s="8"/>
      <c r="R9" s="8"/>
      <c r="S9" s="8"/>
      <c r="T9" s="8"/>
      <c r="U9" s="8"/>
      <c r="V9" s="93"/>
      <c r="W9" s="94"/>
    </row>
    <row r="10" customFormat="false" ht="12.75" hidden="false" customHeight="false" outlineLevel="0" collapsed="false">
      <c r="A10" s="95" t="s">
        <v>30</v>
      </c>
      <c r="B10" s="96" t="n">
        <v>5</v>
      </c>
      <c r="C10" s="97" t="n">
        <v>10</v>
      </c>
      <c r="D10" s="98"/>
      <c r="E10" s="98"/>
      <c r="F10" s="87" t="n">
        <f aca="false">($B10*$B$7+$C10*$C$7)/100</f>
        <v>6.5</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0.01</v>
      </c>
      <c r="C12" s="117" t="n">
        <v>0.02</v>
      </c>
      <c r="D12" s="109"/>
      <c r="E12" s="109"/>
      <c r="F12" s="110" t="n">
        <f aca="false">($B12*$B$7+$C12*$C$7)/100</f>
        <v>0.013</v>
      </c>
      <c r="G12" s="118"/>
      <c r="H12" s="66"/>
      <c r="I12" s="119" t="s">
        <v>37</v>
      </c>
      <c r="J12" s="119"/>
      <c r="K12" s="113" t="n">
        <f aca="false">COUNTIF($G$23:$G$82,"=ALG")</f>
        <v>2</v>
      </c>
      <c r="L12" s="120"/>
      <c r="M12" s="121"/>
      <c r="N12" s="122" t="s">
        <v>31</v>
      </c>
      <c r="O12" s="123"/>
      <c r="P12" s="8"/>
      <c r="Q12" s="8"/>
      <c r="R12" s="8"/>
      <c r="S12" s="8"/>
      <c r="T12" s="8"/>
      <c r="U12" s="8"/>
    </row>
    <row r="13" customFormat="false" ht="12.75" hidden="false" customHeight="false" outlineLevel="0" collapsed="false">
      <c r="A13" s="115" t="s">
        <v>38</v>
      </c>
      <c r="B13" s="116" t="n">
        <v>0.01</v>
      </c>
      <c r="C13" s="117" t="n">
        <v>0</v>
      </c>
      <c r="D13" s="109"/>
      <c r="E13" s="109"/>
      <c r="F13" s="110" t="n">
        <f aca="false">($B13*$B$7+$C13*$C$7)/100</f>
        <v>0.007</v>
      </c>
      <c r="G13" s="118"/>
      <c r="H13" s="66"/>
      <c r="I13" s="119" t="s">
        <v>39</v>
      </c>
      <c r="J13" s="119"/>
      <c r="K13" s="113" t="n">
        <f aca="false">COUNTIF($G$23:$G$82,"=BRm")+COUNTIF($G$23:$G$82,"=BRh")</f>
        <v>1</v>
      </c>
      <c r="L13" s="114"/>
      <c r="M13" s="124" t="s">
        <v>40</v>
      </c>
      <c r="N13" s="125" t="n">
        <f aca="false">COUNTIF(F23:F82,"&gt;0")</f>
        <v>5</v>
      </c>
      <c r="O13" s="126"/>
      <c r="P13" s="8"/>
      <c r="Q13" s="8"/>
      <c r="R13" s="8"/>
      <c r="S13" s="8"/>
      <c r="T13" s="8"/>
      <c r="U13" s="8"/>
    </row>
    <row r="14" customFormat="false" ht="12.75" hidden="false" customHeight="false" outlineLevel="0" collapsed="false">
      <c r="A14" s="115" t="s">
        <v>41</v>
      </c>
      <c r="B14" s="116" t="n">
        <v>0.01</v>
      </c>
      <c r="C14" s="117" t="n">
        <v>0</v>
      </c>
      <c r="D14" s="109"/>
      <c r="E14" s="109"/>
      <c r="F14" s="110" t="n">
        <f aca="false">($B14*$B$7+$C14*$C$7)/100</f>
        <v>0.007</v>
      </c>
      <c r="G14" s="118"/>
      <c r="H14" s="66"/>
      <c r="I14" s="119" t="s">
        <v>42</v>
      </c>
      <c r="J14" s="119"/>
      <c r="K14" s="113" t="n">
        <f aca="false">COUNTIF($G$23:$G$82,"=PTE")</f>
        <v>1</v>
      </c>
      <c r="L14" s="114"/>
      <c r="M14" s="127" t="s">
        <v>43</v>
      </c>
      <c r="N14" s="128" t="n">
        <f aca="false">COUNTIF($I$23:$I$82,"&gt;-1")</f>
        <v>2</v>
      </c>
      <c r="O14" s="129"/>
      <c r="P14" s="8"/>
      <c r="Q14" s="8"/>
      <c r="R14" s="8"/>
      <c r="S14" s="8"/>
      <c r="T14" s="8"/>
      <c r="U14" s="8"/>
    </row>
    <row r="15" customFormat="false" ht="12.75" hidden="false" customHeight="false" outlineLevel="0" collapsed="false">
      <c r="A15" s="130" t="s">
        <v>44</v>
      </c>
      <c r="B15" s="131" t="n">
        <v>0</v>
      </c>
      <c r="C15" s="132" t="n">
        <v>0</v>
      </c>
      <c r="D15" s="109"/>
      <c r="E15" s="109"/>
      <c r="F15" s="110" t="n">
        <f aca="false">($B15*$B$7+$C15*$C$7)/100</f>
        <v>0</v>
      </c>
      <c r="G15" s="118"/>
      <c r="H15" s="66"/>
      <c r="I15" s="119" t="s">
        <v>45</v>
      </c>
      <c r="J15" s="119"/>
      <c r="K15" s="113" t="n">
        <f aca="false">(COUNTIF($G$23:$G$82,"=PHy"))+(COUNTIF($G$23:$G$82,"=PHe"))+(COUNTIF($G$23:$G$82,"=PHg"))+(COUNTIF($G$23:$G$82,"=PHx"))</f>
        <v>0</v>
      </c>
      <c r="L15" s="114"/>
      <c r="M15" s="133" t="s">
        <v>46</v>
      </c>
      <c r="N15" s="134" t="n">
        <f aca="false">COUNTIF(J23:J82,"=1")</f>
        <v>1</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1</v>
      </c>
      <c r="O16" s="135"/>
      <c r="P16" s="8"/>
      <c r="Q16" s="8"/>
      <c r="R16" s="8"/>
      <c r="S16" s="8"/>
      <c r="T16" s="8"/>
      <c r="U16" s="8"/>
    </row>
    <row r="17" customFormat="false" ht="12.75" hidden="false" customHeight="false" outlineLevel="0" collapsed="false">
      <c r="A17" s="115" t="s">
        <v>49</v>
      </c>
      <c r="B17" s="116" t="n">
        <v>0.02</v>
      </c>
      <c r="C17" s="117" t="n">
        <v>0.02</v>
      </c>
      <c r="D17" s="109"/>
      <c r="E17" s="109"/>
      <c r="F17" s="139"/>
      <c r="G17" s="110" t="n">
        <f aca="false">($B17*$B$7+$C17*$C$7)/100</f>
        <v>0.02</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t="n">
        <v>0.01</v>
      </c>
      <c r="C18" s="142" t="n">
        <v>0</v>
      </c>
      <c r="D18" s="109"/>
      <c r="E18" s="143" t="s">
        <v>52</v>
      </c>
      <c r="F18" s="139"/>
      <c r="G18" s="110" t="n">
        <f aca="false">($B18*$B$7+$C18*$C$7)/100</f>
        <v>0.007</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0.027</v>
      </c>
      <c r="G19" s="151" t="n">
        <f aca="false">SUM(G16:G18)</f>
        <v>0.027</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0.03</v>
      </c>
      <c r="C20" s="160" t="n">
        <f aca="false">SUM(C23:C82)</f>
        <v>0.015</v>
      </c>
      <c r="D20" s="161"/>
      <c r="E20" s="162" t="s">
        <v>52</v>
      </c>
      <c r="F20" s="163" t="n">
        <f aca="false">($B20*$B$7+$C20*$C$7)/100</f>
        <v>0.0255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0.021</v>
      </c>
      <c r="C21" s="172" t="n">
        <f aca="false">C20*C7/100</f>
        <v>0.0045</v>
      </c>
      <c r="D21" s="109" t="str">
        <f aca="false">IF(F21=0,"",IF((ABS(F21-F19))&gt;(0.2*F21),CONCATENATE(" rec. par taxa (",F21," %) supérieur à 20 % !"),""))</f>
        <v/>
      </c>
      <c r="E21" s="173" t="str">
        <f aca="false">IF(F21=0,"",IF((ABS(F21-F19))&gt;(0.2*F21),CONCATENATE("ATTENTION : écart entre rec. par grp (",F19," %) ","et",""),""))</f>
        <v/>
      </c>
      <c r="F21" s="174" t="n">
        <f aca="false">B21+C21</f>
        <v>0.0255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c r="C23" s="196" t="n">
        <v>0.005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0.0015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0.0015</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184</v>
      </c>
      <c r="Z23" s="210"/>
      <c r="AA23" s="211"/>
      <c r="BB23" s="8" t="n">
        <f aca="false">IF(A23="","",1)</f>
        <v>1</v>
      </c>
    </row>
    <row r="24" customFormat="false" ht="12.75" hidden="false" customHeight="false" outlineLevel="0" collapsed="false">
      <c r="A24" s="212" t="s">
        <v>15</v>
      </c>
      <c r="B24" s="213" t="n">
        <v>0.01</v>
      </c>
      <c r="C24" s="214"/>
      <c r="D24" s="215" t="str">
        <f aca="false">IF(ISERROR(VLOOKUP($A24,'[1]liste reference'!$A$7:$D$906,2,0)),IF(ISERROR(VLOOKUP($A24,'[1]liste reference'!$B$7:$D$906,1,0)),"",VLOOKUP($A24,'[1]liste reference'!$B$7:$D$906,1,0)),VLOOKUP($A24,'[1]liste reference'!$A$7:$D$906,2,0))</f>
        <v>Hildenbrandia rivularis</v>
      </c>
      <c r="E24" s="215" t="e">
        <f aca="false">IF(D24="",0,VLOOKUP(D24,D$19:D19,1,0))</f>
        <v>#N/A</v>
      </c>
      <c r="F24" s="216" t="n">
        <f aca="false">($B24*$B$7+$C24*$C$7)/100</f>
        <v>0.007</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0.007</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334</v>
      </c>
      <c r="Z24" s="210"/>
      <c r="AA24" s="211"/>
      <c r="BB24" s="8" t="n">
        <f aca="false">IF(A24="","",1)</f>
        <v>1</v>
      </c>
    </row>
    <row r="25" customFormat="false" ht="12.75" hidden="false" customHeight="false" outlineLevel="0" collapsed="false">
      <c r="A25" s="212" t="s">
        <v>75</v>
      </c>
      <c r="B25" s="213"/>
      <c r="C25" s="214" t="n">
        <v>0.01</v>
      </c>
      <c r="D25" s="215" t="str">
        <f aca="false">IF(ISERROR(VLOOKUP($A25,'[1]liste reference'!$A$7:$D$906,2,0)),IF(ISERROR(VLOOKUP($A25,'[1]liste reference'!$B$7:$D$906,1,0)),"",VLOOKUP($A25,'[1]liste reference'!$B$7:$D$906,1,0)),VLOOKUP($A25,'[1]liste reference'!$A$7:$D$906,2,0))</f>
        <v/>
      </c>
      <c r="E25" s="215" t="n">
        <f aca="false">IF(D25="",0,VLOOKUP(D25,D$22:D24,1,0))</f>
        <v>0</v>
      </c>
      <c r="F25" s="216" t="n">
        <f aca="false">($B25*$B$7+$C25*$C$7)/100</f>
        <v>0.003</v>
      </c>
      <c r="G25" s="217" t="str">
        <f aca="false">IF(A25="","",IF(ISERROR(VLOOKUP($A25,'[1]liste reference'!$A$7:$P$906,13,0)),IF(ISERROR(VLOOKUP($A25,'[1]liste reference'!$B$7:$P$906,12,0)),"    -",VLOOKUP($A25,'[1]liste reference'!$B$7:$P$906,12,0)),VLOOKUP($A25,'[1]liste reference'!$A$7:$P$906,13,0)))</f>
        <v>    -</v>
      </c>
      <c r="H25" s="200" t="str">
        <f aca="false">IF(A25="","x",IF(ISERROR(VLOOKUP($A25,'[1]liste reference'!$A$7:$P$906,14,0)),IF(ISERROR(VLOOKUP($A25,'[1]liste reference'!$B$7:$P$906,13,0)),"x",VLOOKUP($A25,'[1]liste reference'!$B$7:$P$906,13,0)),VLOOKUP($A25,'[1]liste reference'!$A$7:$P$906,14,0)))</f>
        <v>x</v>
      </c>
      <c r="I25" s="218" t="str">
        <f aca="false">IF(ISNUMBER(H25),IF(ISERROR(VLOOKUP($A25,'[1]liste reference'!$A$7:$P$906,3,0)),IF(ISERROR(VLOOKUP($A25,'[1]liste reference'!$B$7:$P$906,2,0)),"",VLOOKUP($A25,'[1]liste reference'!$B$7:$P$906,2,0)),VLOOKUP($A25,'[1]liste reference'!$A$7:$P$906,3,0)),"")</f>
        <v/>
      </c>
      <c r="J25" s="202" t="str">
        <f aca="false">IF(ISNUMBER(H25),IF(ISERROR(VLOOKUP($A25,'[1]liste reference'!$A$7:$P$906,4,0)),IF(ISERROR(VLOOKUP($A25,'[1]liste reference'!$B$7:$P$906,3,0)),"",VLOOKUP($A25,'[1]liste reference'!$B$7:$P$906,3,0)),VLOOKUP($A25,'[1]liste reference'!$A$7:$P$906,4,0)),"")</f>
        <v/>
      </c>
      <c r="K25" s="220" t="s">
        <v>76</v>
      </c>
      <c r="L25" s="222"/>
      <c r="M25" s="222"/>
      <c r="N25" s="222"/>
      <c r="O25" s="223" t="s">
        <v>77</v>
      </c>
      <c r="P25" s="206" t="str">
        <f aca="false">IF(ISTEXT(H25),"",(B25*$B$7/100)+(C25*$C$7/100))</f>
        <v/>
      </c>
      <c r="Q25" s="207" t="str">
        <f aca="false">IF(OR(ISTEXT(H25),P25=0),"",IF(P25&lt;0.1,1,IF(P25&lt;1,2,IF(P25&lt;10,3,IF(P25&lt;50,4,IF(P25&gt;=50,5,""))))))</f>
        <v/>
      </c>
      <c r="R25" s="207" t="n">
        <f aca="false">IF(ISERROR(Q25*I25),0,Q25*I25)</f>
        <v>0</v>
      </c>
      <c r="S25" s="207" t="n">
        <f aca="false">IF(ISERROR(Q25*I25*J25),0,Q25*I25*J25)</f>
        <v>0</v>
      </c>
      <c r="T25" s="221" t="n">
        <f aca="false">IF(ISERROR(Q25*J25),0,Q25*J25)</f>
        <v>0</v>
      </c>
      <c r="U25" s="208" t="str">
        <f aca="false">IF(AND(A25="",F25=0),"",IF(F25=0,"Il manque le(s) % de rec. !",""))</f>
        <v/>
      </c>
      <c r="V25" s="209"/>
      <c r="X25" s="207" t="str">
        <f aca="false">IF(A25="new.cod","NEW.COD",IF(AND((Y25=""),ISTEXT(A25)),A25,IF(Y25="","",INDEX('[1]liste reference'!$A$7:$A$906,Y25))))</f>
        <v>NEWCOD</v>
      </c>
      <c r="Y25" s="8" t="str">
        <f aca="false">IF(ISERROR(MATCH(A25,'[1]liste reference'!$A$7:$A$906,0)),IF(ISERROR(MATCH(A25,'[1]liste reference'!$B$7:$B$906,0)),"",(MATCH(A25,'[1]liste reference'!$B$7:$B$906,0))),(MATCH(A25,'[1]liste reference'!$A$7:$A$906,0)))</f>
        <v/>
      </c>
      <c r="Z25" s="210" t="s">
        <v>77</v>
      </c>
      <c r="AA25" s="211"/>
      <c r="BB25" s="8" t="n">
        <f aca="false">IF(A25="","",1)</f>
        <v>1</v>
      </c>
    </row>
    <row r="26" customFormat="false" ht="12.75" hidden="false" customHeight="false" outlineLevel="0" collapsed="false">
      <c r="A26" s="212" t="s">
        <v>78</v>
      </c>
      <c r="B26" s="213" t="n">
        <v>0.01</v>
      </c>
      <c r="C26" s="214"/>
      <c r="D26" s="215" t="str">
        <f aca="false">IF(ISERROR(VLOOKUP($A26,'[1]liste reference'!$A$7:$D$906,2,0)),IF(ISERROR(VLOOKUP($A26,'[1]liste reference'!$B$7:$D$906,1,0)),"",VLOOKUP($A26,'[1]liste reference'!$B$7:$D$906,1,0)),VLOOKUP($A26,'[1]liste reference'!$A$7:$D$906,2,0))</f>
        <v>Porella cordaeana</v>
      </c>
      <c r="E26" s="215" t="e">
        <f aca="false">IF(D26="",0,VLOOKUP(D26,D$22:D25,1,0))</f>
        <v>#N/A</v>
      </c>
      <c r="F26" s="216" t="n">
        <f aca="false">($B26*$B$7+$C26*$C$7)/100</f>
        <v>0.007</v>
      </c>
      <c r="G26" s="217" t="str">
        <f aca="false">IF(A26="","",IF(ISERROR(VLOOKUP($A26,'[1]liste reference'!$A$7:$P$906,13,0)),IF(ISERROR(VLOOKUP($A26,'[1]liste reference'!$B$7:$P$906,12,0)),"    -",VLOOKUP($A26,'[1]liste reference'!$B$7:$P$906,12,0)),VLOOKUP($A26,'[1]liste reference'!$A$7:$P$906,13,0)))</f>
        <v>BRh</v>
      </c>
      <c r="H26" s="200" t="n">
        <f aca="false">IF(A26="","x",IF(ISERROR(VLOOKUP($A26,'[1]liste reference'!$A$7:$P$906,14,0)),IF(ISERROR(VLOOKUP($A26,'[1]liste reference'!$B$7:$P$906,13,0)),"x",VLOOKUP($A26,'[1]liste reference'!$B$7:$P$906,13,0)),VLOOKUP($A26,'[1]liste reference'!$A$7:$P$906,14,0)))</f>
        <v>4</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Porella cordaeana</v>
      </c>
      <c r="L26" s="220"/>
      <c r="M26" s="220"/>
      <c r="N26" s="220"/>
      <c r="O26" s="205"/>
      <c r="P26" s="206" t="n">
        <f aca="false">IF(ISTEXT(H26),"",(B26*$B$7/100)+(C26*$C$7/100))</f>
        <v>0.007</v>
      </c>
      <c r="Q26" s="207" t="n">
        <f aca="false">IF(OR(ISTEXT(H26),P26=0),"",IF(P26&lt;0.1,1,IF(P26&lt;1,2,IF(P26&lt;10,3,IF(P26&lt;50,4,IF(P26&gt;=50,5,""))))))</f>
        <v>1</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POR.COR</v>
      </c>
      <c r="Y26" s="8" t="n">
        <f aca="false">IF(ISERROR(MATCH(A26,'[1]liste reference'!$A$7:$A$906,0)),IF(ISERROR(MATCH(A26,'[1]liste reference'!$B$7:$B$906,0)),"",(MATCH(A26,'[1]liste reference'!$B$7:$B$906,0))),(MATCH(A26,'[1]liste reference'!$A$7:$A$906,0)))</f>
        <v>603</v>
      </c>
      <c r="Z26" s="210"/>
      <c r="AA26" s="211"/>
      <c r="BB26" s="8" t="n">
        <f aca="false">IF(A26="","",1)</f>
        <v>1</v>
      </c>
    </row>
    <row r="27" customFormat="false" ht="12.75" hidden="false" customHeight="false" outlineLevel="0" collapsed="false">
      <c r="A27" s="212" t="s">
        <v>79</v>
      </c>
      <c r="B27" s="213" t="n">
        <v>0.01</v>
      </c>
      <c r="C27" s="214"/>
      <c r="D27" s="215" t="str">
        <f aca="false">IF(ISERROR(VLOOKUP($A27,'[1]liste reference'!$A$7:$D$906,2,0)),IF(ISERROR(VLOOKUP($A27,'[1]liste reference'!$B$7:$D$906,1,0)),"",VLOOKUP($A27,'[1]liste reference'!$B$7:$D$906,1,0)),VLOOKUP($A27,'[1]liste reference'!$A$7:$D$906,2,0))</f>
        <v>Equisetum arvense   </v>
      </c>
      <c r="E27" s="215" t="e">
        <f aca="false">IF(D27="",0,VLOOKUP(D27,D$22:D26,1,0))</f>
        <v>#N/A</v>
      </c>
      <c r="F27" s="216" t="n">
        <f aca="false">($B27*$B$7+$C27*$C$7)/100</f>
        <v>0.007</v>
      </c>
      <c r="G27" s="217" t="str">
        <f aca="false">IF(A27="","",IF(ISERROR(VLOOKUP($A27,'[1]liste reference'!$A$7:$P$906,13,0)),IF(ISERROR(VLOOKUP($A27,'[1]liste reference'!$B$7:$P$906,12,0)),"    -",VLOOKUP($A27,'[1]liste reference'!$B$7:$P$906,12,0)),VLOOKUP($A27,'[1]liste reference'!$A$7:$P$906,13,0)))</f>
        <v>PTE</v>
      </c>
      <c r="H27" s="200" t="n">
        <f aca="false">IF(A27="","x",IF(ISERROR(VLOOKUP($A27,'[1]liste reference'!$A$7:$P$906,14,0)),IF(ISERROR(VLOOKUP($A27,'[1]liste reference'!$B$7:$P$906,13,0)),"x",VLOOKUP($A27,'[1]liste reference'!$B$7:$P$906,13,0)),VLOOKUP($A27,'[1]liste reference'!$A$7:$P$906,14,0)))</f>
        <v>6</v>
      </c>
      <c r="I27" s="218"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9" t="str">
        <f aca="false">IF(A27="NEW.COD",AA27,IF(ISTEXT($E27),"DEJA SAISI !",IF(A27="","",IF(ISERROR(VLOOKUP($A27,'[1]liste reference'!$A$7:$D$906,2,0)),IF(ISERROR(VLOOKUP($A27,'[1]liste reference'!$B$7:$D$906,1,0)),"code non répertorié ou synonyme",VLOOKUP($A27,'[1]liste reference'!$B$7:$D$906,1,0)),VLOOKUP(A27,'[1]liste reference'!$A$7:$D$906,2,0)))))</f>
        <v>Equisetum arvense   </v>
      </c>
      <c r="L27" s="220"/>
      <c r="M27" s="220"/>
      <c r="N27" s="220"/>
      <c r="O27" s="205"/>
      <c r="P27" s="206" t="n">
        <f aca="false">IF(ISTEXT(H27),"",(B27*$B$7/100)+(C27*$C$7/100))</f>
        <v>0.007</v>
      </c>
      <c r="Q27" s="207" t="n">
        <f aca="false">IF(OR(ISTEXT(H27),P27=0),"",IF(P27&lt;0.1,1,IF(P27&lt;1,2,IF(P27&lt;10,3,IF(P27&lt;50,4,IF(P27&gt;=50,5,""))))))</f>
        <v>1</v>
      </c>
      <c r="R27" s="207" t="n">
        <f aca="false">IF(ISERROR(Q27*I27),0,Q27*I27)</f>
        <v>0</v>
      </c>
      <c r="S27" s="207" t="n">
        <f aca="false">IF(ISERROR(Q27*I27*J27),0,Q27*I27*J27)</f>
        <v>0</v>
      </c>
      <c r="T27" s="221" t="n">
        <f aca="false">IF(ISERROR(Q27*J27),0,Q27*J27)</f>
        <v>0</v>
      </c>
      <c r="U27" s="208" t="str">
        <f aca="false">IF(AND(A27="",F27=0),"",IF(F27=0,"Il manque le(s) % de rec. !",""))</f>
        <v/>
      </c>
      <c r="V27" s="209"/>
      <c r="X27" s="207" t="str">
        <f aca="false">IF(A27="new.cod","NEW.COD",IF(AND((Y27=""),ISTEXT(A27)),A27,IF(Y27="","",INDEX('[1]liste reference'!$A$7:$A$906,Y27))))</f>
        <v>EQU.ARV</v>
      </c>
      <c r="Y27" s="8" t="n">
        <f aca="false">IF(ISERROR(MATCH(A27,'[1]liste reference'!$A$7:$A$906,0)),IF(ISERROR(MATCH(A27,'[1]liste reference'!$B$7:$B$906,0)),"",(MATCH(A27,'[1]liste reference'!$B$7:$B$906,0))),(MATCH(A27,'[1]liste reference'!$A$7:$A$906,0)))</f>
        <v>266</v>
      </c>
      <c r="Z27" s="210"/>
      <c r="AA27" s="211"/>
      <c r="BB27" s="8" t="n">
        <f aca="false">IF(A27="","",1)</f>
        <v>1</v>
      </c>
    </row>
    <row r="28" customFormat="false" ht="12.75" hidden="false" customHeight="false" outlineLevel="0" collapsed="false">
      <c r="A28" s="212"/>
      <c r="B28" s="213"/>
      <c r="C28" s="214"/>
      <c r="D28" s="215" t="str">
        <f aca="false">IF(ISERROR(VLOOKUP($A28,'[1]liste reference'!$A$7:$D$906,2,0)),IF(ISERROR(VLOOKUP($A28,'[1]liste reference'!$B$7:$D$906,1,0)),"",VLOOKUP($A28,'[1]liste reference'!$B$7:$D$906,1,0)),VLOOKUP($A28,'[1]liste reference'!$A$7:$D$906,2,0))</f>
        <v/>
      </c>
      <c r="E28" s="215" t="n">
        <f aca="false">IF(D28="",0,VLOOKUP(D28,D$16:D22,1,0))</f>
        <v>0</v>
      </c>
      <c r="F28" s="216" t="n">
        <f aca="false">($B28*$B$7+$C28*$C$7)/100</f>
        <v>0</v>
      </c>
      <c r="G28" s="217" t="str">
        <f aca="false">IF(A28="","",IF(ISERROR(VLOOKUP($A28,'[1]liste reference'!$A$7:$P$906,13,0)),IF(ISERROR(VLOOKUP($A28,'[1]liste reference'!$B$7:$P$906,12,0)),"    -",VLOOKUP($A28,'[1]liste reference'!$B$7:$P$906,12,0)),VLOOKUP($A28,'[1]liste reference'!$A$7:$P$906,13,0)))</f>
        <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
      </c>
      <c r="Y28" s="8" t="str">
        <f aca="false">IF(ISERROR(MATCH(A28,'[1]liste reference'!$A$7:$A$906,0)),IF(ISERROR(MATCH(A28,'[1]liste reference'!$B$7:$B$906,0)),"",(MATCH(A28,'[1]liste reference'!$B$7:$B$906,0))),(MATCH(A28,'[1]liste reference'!$A$7:$A$906,0)))</f>
        <v/>
      </c>
      <c r="Z28" s="210"/>
      <c r="AA28" s="211"/>
      <c r="BB28" s="8" t="str">
        <f aca="false">IF(A28="","",1)</f>
        <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IF(D29="",0,VLOOKUP(D29,D$17:D22,1,0))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c r="B30" s="213"/>
      <c r="C30" s="214"/>
      <c r="D30" s="215" t="str">
        <f aca="false">IF(ISERROR(VLOOKUP($A30,'[1]liste reference'!$A$7:$D$906,2,0)),IF(ISERROR(VLOOKUP($A30,'[1]liste reference'!$B$7:$D$906,1,0)),"",VLOOKUP($A30,'[1]liste reference'!$B$7:$D$906,1,0)),VLOOKUP($A30,'[1]liste reference'!$A$7:$D$906,2,0))</f>
        <v/>
      </c>
      <c r="E30" s="215" t="n">
        <f aca="false">IF(D30="",0,VLOOKUP(D30,D$15:D22,1,0))</f>
        <v>0</v>
      </c>
      <c r="F30" s="216" t="n">
        <f aca="false">($B30*$B$7+$C30*$C$7)/100</f>
        <v>0</v>
      </c>
      <c r="G30" s="217" t="str">
        <f aca="false">IF(A30="","",IF(ISERROR(VLOOKUP($A30,'[1]liste reference'!$A$7:$P$906,13,0)),IF(ISERROR(VLOOKUP($A30,'[1]liste reference'!$B$7:$P$906,12,0)),"    -",VLOOKUP($A30,'[1]liste reference'!$B$7:$P$906,12,0)),VLOOKUP($A30,'[1]liste reference'!$A$7:$P$906,13,0)))</f>
        <v/>
      </c>
      <c r="H30" s="200" t="str">
        <f aca="false">IF(A30="","x",IF(ISERROR(VLOOKUP($A30,'[1]liste reference'!$A$7:$P$906,14,0)),IF(ISERROR(VLOOKUP($A30,'[1]liste reference'!$B$7:$P$906,13,0)),"x",VLOOKUP($A30,'[1]liste reference'!$B$7:$P$906,13,0)),VLOOKUP($A30,'[1]liste reference'!$A$7:$P$906,14,0)))</f>
        <v>x</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
      </c>
      <c r="L30" s="220"/>
      <c r="M30" s="220"/>
      <c r="N30" s="220"/>
      <c r="O30" s="205"/>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
      </c>
      <c r="Y30" s="8" t="str">
        <f aca="false">IF(ISERROR(MATCH(A30,'[1]liste reference'!$A$7:$A$906,0)),IF(ISERROR(MATCH(A30,'[1]liste reference'!$B$7:$B$906,0)),"",(MATCH(A30,'[1]liste reference'!$B$7:$B$906,0))),(MATCH(A30,'[1]liste reference'!$A$7:$A$906,0)))</f>
        <v/>
      </c>
      <c r="Z30" s="210"/>
      <c r="AA30" s="211"/>
      <c r="BB30" s="8" t="str">
        <f aca="false">IF(A30="","",1)</f>
        <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IF(D31="",0,VLOOKUP(D31,D$16:D22,1,0))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IF(D32="",0,VLOOKUP(D32,D$17:D22,1,0))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IF(D33="",0,VLOOKUP(D33,D$18:D22,1,0))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0"/>
      <c r="M33" s="220"/>
      <c r="N33" s="220"/>
      <c r="O33" s="205"/>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IF(D34="",0,VLOOKUP(D34,D$19:D22,1,0))</f>
        <v>0</v>
      </c>
      <c r="F34" s="224"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IF(D35="",0,VLOOKUP(D35,D$19:D22,1,0))</f>
        <v>0</v>
      </c>
      <c r="F35" s="224"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IF(D36="",0,VLOOKUP(D36,D$20:D22,1,0))</f>
        <v>0</v>
      </c>
      <c r="F36" s="224"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IF(D37="",0,VLOOKUP(D37,D$20:D22,1,0))</f>
        <v>0</v>
      </c>
      <c r="F37" s="224"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IF(D38="",0,VLOOKUP(D38,D$22:D36,1,0))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IF(D39="",0,VLOOKUP(D39,D$22:D36,1,0))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IF(D40="",0,VLOOKUP(D40,D$22:D36,1,0))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IF(D41="",0,VLOOKUP(D41,D$22:D26,1,0))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5"/>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IF(D42="",0,VLOOKUP(D42,D$22:D27,1,0))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IF(D43="",0,VLOOKUP(D43,D$22:D27,1,0))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IF(D45="",0,VLOOKUP(D45,D$21:D44,1,0))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2"/>
      <c r="M45" s="222"/>
      <c r="N45" s="222"/>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W45" s="226"/>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IF(D46="",0,VLOOKUP(D46,D$20:D44,1,0))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2"/>
      <c r="M46" s="222"/>
      <c r="N46" s="222"/>
      <c r="O46" s="223"/>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27"/>
      <c r="W46" s="228"/>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IF(D47="",0,VLOOKUP(D47,D$21:D46,1,0))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W47" s="22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30"/>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W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31"/>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2"/>
      <c r="M67" s="222"/>
      <c r="N67" s="222"/>
      <c r="O67" s="223"/>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t="s">
        <v>77</v>
      </c>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t="s">
        <v>77</v>
      </c>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IF(D74="",0,VLOOKUP(D74,D$17:D71,1,0))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IF(D76="",0,VLOOKUP(D76,D$22:D69,1,0))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80</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VAREZE</v>
      </c>
      <c r="B84" s="248" t="str">
        <f aca="false">C3</f>
        <v>Cour et Buis</v>
      </c>
      <c r="C84" s="249" t="n">
        <f aca="false">A4</f>
        <v>39686</v>
      </c>
      <c r="D84" s="250" t="n">
        <f aca="false">IF(ISERROR(SUM($S$23:$S$82)/SUM($T$23:$T$82)),"",SUM($S$23:$S$82)/SUM($T$23:$T$82))</f>
        <v>12</v>
      </c>
      <c r="E84" s="251" t="n">
        <f aca="false">N13</f>
        <v>5</v>
      </c>
      <c r="F84" s="252" t="n">
        <f aca="false">N14</f>
        <v>2</v>
      </c>
      <c r="G84" s="252" t="n">
        <f aca="false">N15</f>
        <v>1</v>
      </c>
      <c r="H84" s="252" t="n">
        <f aca="false">N16</f>
        <v>1</v>
      </c>
      <c r="I84" s="252" t="n">
        <f aca="false">N17</f>
        <v>0</v>
      </c>
      <c r="J84" s="253" t="n">
        <f aca="false">N8</f>
        <v>10.5</v>
      </c>
      <c r="K84" s="250" t="n">
        <f aca="false">N9</f>
        <v>6.36396103067893</v>
      </c>
      <c r="L84" s="251" t="n">
        <f aca="false">N10</f>
        <v>6</v>
      </c>
      <c r="M84" s="251" t="n">
        <f aca="false">N11</f>
        <v>15</v>
      </c>
      <c r="N84" s="250" t="n">
        <f aca="false">O8</f>
        <v>1.5</v>
      </c>
      <c r="O84" s="250" t="n">
        <f aca="false">O9</f>
        <v>0.707106781186548</v>
      </c>
      <c r="P84" s="251" t="n">
        <f aca="false">O10</f>
        <v>1</v>
      </c>
      <c r="Q84" s="251" t="n">
        <f aca="false">O11</f>
        <v>2</v>
      </c>
      <c r="R84" s="254" t="n">
        <f aca="false">F21</f>
        <v>0.0255</v>
      </c>
      <c r="S84" s="251" t="n">
        <f aca="false">K11</f>
        <v>0</v>
      </c>
      <c r="T84" s="251" t="n">
        <f aca="false">K12</f>
        <v>2</v>
      </c>
      <c r="U84" s="251" t="n">
        <f aca="false">K13</f>
        <v>1</v>
      </c>
      <c r="V84" s="255" t="n">
        <f aca="false">K14</f>
        <v>1</v>
      </c>
      <c r="W84" s="256" t="n">
        <f aca="false">K15</f>
        <v>0</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7" t="s">
        <v>81</v>
      </c>
      <c r="Q86" s="8"/>
      <c r="R86" s="208"/>
      <c r="S86" s="8"/>
      <c r="T86" s="8"/>
      <c r="U86" s="8"/>
    </row>
    <row r="87" customFormat="false" ht="12.75" hidden="true" customHeight="false" outlineLevel="0" collapsed="false">
      <c r="P87" s="8" t="s">
        <v>82</v>
      </c>
      <c r="Q87" s="8"/>
      <c r="R87" s="208" t="n">
        <f aca="false">VLOOKUP(MAX($R$23:$R$82),($R$23:$T$82),1,0)</f>
        <v>15</v>
      </c>
      <c r="S87" s="8"/>
      <c r="T87" s="8"/>
      <c r="U87" s="8"/>
    </row>
    <row r="88" customFormat="false" ht="12.75" hidden="true" customHeight="false" outlineLevel="0" collapsed="false">
      <c r="P88" s="8" t="s">
        <v>83</v>
      </c>
      <c r="Q88" s="8"/>
      <c r="R88" s="208" t="n">
        <f aca="false">VLOOKUP((R87),($R$23:$T$82),2,0)</f>
        <v>30</v>
      </c>
      <c r="S88" s="8"/>
      <c r="T88" s="8"/>
      <c r="U88" s="8"/>
    </row>
    <row r="89" customFormat="false" ht="12.75" hidden="true" customHeight="false" outlineLevel="0" collapsed="false">
      <c r="P89" s="8" t="s">
        <v>84</v>
      </c>
      <c r="Q89" s="8"/>
      <c r="R89" s="208" t="n">
        <f aca="false">VLOOKUP((R87),($R$23:$T$82),3,0)</f>
        <v>2</v>
      </c>
      <c r="S89" s="8"/>
    </row>
    <row r="90" customFormat="false" ht="12.75" hidden="true" customHeight="false" outlineLevel="0" collapsed="false">
      <c r="P90" s="8" t="s">
        <v>85</v>
      </c>
      <c r="Q90" s="8"/>
      <c r="R90" s="258" t="n">
        <f aca="false">IF(ISERROR(SUM($S$23:$S$82)/SUM($T$23:$T$82)),"",(SUM($S$23:$S$82)-R88)/(SUM($T$23:$T$82)-R89))</f>
        <v>6</v>
      </c>
      <c r="S90" s="8"/>
    </row>
    <row r="91" customFormat="false" ht="12.75" hidden="true" customHeight="false" outlineLevel="0" collapsed="false">
      <c r="P91" s="207" t="s">
        <v>86</v>
      </c>
      <c r="Q91" s="207"/>
      <c r="R91" s="207" t="str">
        <f aca="false">INDEX('[1]liste reference'!$A$7:$A$906,$S$91)</f>
        <v>HIL.SPX</v>
      </c>
      <c r="S91" s="8" t="n">
        <f aca="false">IF(ISERROR(MATCH($R$93,'[1]liste reference'!$A$7:$A$906,0)),MATCH($R$93,'[1]liste reference'!$B$7:$B$906,0),(MATCH($R$93,'[1]liste reference'!$A$7:$A$906,0)))</f>
        <v>334</v>
      </c>
      <c r="T91" s="246"/>
    </row>
    <row r="92" customFormat="false" ht="12.75" hidden="true" customHeight="false" outlineLevel="0" collapsed="false">
      <c r="P92" s="8" t="s">
        <v>87</v>
      </c>
      <c r="Q92" s="8"/>
      <c r="R92" s="8" t="n">
        <f aca="false">MATCH(R87,$R$23:$R$82,0)</f>
        <v>2</v>
      </c>
      <c r="S92" s="8"/>
    </row>
    <row r="93" customFormat="false" ht="12.75" hidden="true" customHeight="false" outlineLevel="0" collapsed="false">
      <c r="P93" s="207" t="s">
        <v>88</v>
      </c>
      <c r="Q93" s="8"/>
      <c r="R93" s="207" t="str">
        <f aca="false">INDEX($A$23:$A$82,$R$92)</f>
        <v>HIL.SPX</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2024-03-12T20:48:23Z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