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<sst xmlns="http://schemas.openxmlformats.org/spreadsheetml/2006/main" count="93" uniqueCount="89">
  <si>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</si>
  <si>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</si>
  <si>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</si>
  <si>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 BOURGOIN C.BERNARD</t>
  </si>
  <si>
    <t xml:space="preserve">conforme AFNOR T90-395 oct. 2003</t>
  </si>
  <si>
    <t xml:space="preserve">VAREZE</t>
  </si>
  <si>
    <t xml:space="preserve">VAREZE A COUR ET BUIS</t>
  </si>
  <si>
    <t xml:space="preserve">06820073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</si>
  <si>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</si>
  <si>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</si>
  <si>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</si>
  <si>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</si>
  <si>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</si>
  <si>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</si>
  <si>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</si>
  <si>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</si>
  <si>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HILSPX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</si>
  <si>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</si>
  <si>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</si>
  <si>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</si>
  <si>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</si>
  <si>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moyen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</si>
  <si>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</si>
  <si>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</si>
  <si>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</si>
  <si>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</si>
  <si>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</si>
  <si>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</si>
  <si>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</si>
  <si>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</si>
  <si>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</si>
  <si>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</si>
  <si>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</si>
  <si>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</si>
  <si>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</si>
  <si>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</si>
  <si>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</si>
  <si>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</si>
  <si>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</si>
  <si>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</si>
  <si>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</si>
  <si>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</si>
  <si>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</si>
  <si>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</si>
  <si>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</si>
  <si>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</si>
  <si>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</si>
  <si>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</si>
  <si>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</si>
  <si>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</si>
  <si>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</si>
  <si>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</si>
  <si>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</si>
  <si>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</si>
  <si>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</si>
  <si>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</si>
  <si>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</si>
  <si>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</si>
  <si>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</si>
  <si>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</si>
  <si>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</si>
  <si>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</si>
  <si>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</si>
  <si>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</si>
  <si>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</si>
  <si>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</si>
  <si>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</si>
  <si>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</si>
  <si>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</si>
  <si>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</si>
  <si>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</si>
  <si>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</si>
  <si>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</si>
  <si>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</si>
  <si>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</si>
  <si>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</si>
  <si>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</si>
  <si>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</si>
  <si>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RHYRIP</t>
  </si>
  <si>
    <t xml:space="preserve">LYCEUR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</si>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</sst>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VARCO_17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41472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11.8</v>
      </c>
      <c r="M5" s="53"/>
      <c r="N5" s="54" t="s">
        <v>16</v>
      </c>
      <c r="O5" s="55" t="n">
        <v>9.66666666666667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75</v>
      </c>
      <c r="C7" s="67" t="n">
        <v>25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</v>
      </c>
      <c r="O8" s="84" t="n">
        <f aca="false">IF(ISERROR(AVERAGE(J23:J82)),"      -",AVERAGE(J23:J82))</f>
        <v>1.25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0.11</v>
      </c>
      <c r="C9" s="87" t="n">
        <v>0.04</v>
      </c>
      <c r="D9" s="88"/>
      <c r="E9" s="88"/>
      <c r="F9" s="89" t="n">
        <f aca="false">($B9*$B$7+$C9*$C$7)/100</f>
        <v>0.0925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3.24037034920393</v>
      </c>
      <c r="O9" s="84" t="n">
        <f aca="false">IF(ISERROR(STDEVP(J23:J82)),"      -",STDEVP(J23:J82))</f>
        <v>0.433012701892219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0.11</v>
      </c>
      <c r="C12" s="119" t="n">
        <v>0.02</v>
      </c>
      <c r="D12" s="111"/>
      <c r="E12" s="111"/>
      <c r="F12" s="112" t="n">
        <f aca="false">($B12*$B$7+$C12*$C$7)/100</f>
        <v>0.0875</v>
      </c>
      <c r="G12" s="120"/>
      <c r="H12" s="68"/>
      <c r="I12" s="121" t="s">
        <v>38</v>
      </c>
      <c r="J12" s="121"/>
      <c r="K12" s="115" t="n">
        <f aca="false">COUNTIF($G$23:$G$82,"=ALG")</f>
        <v>2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 t="n">
        <v>0.01</v>
      </c>
      <c r="D13" s="111"/>
      <c r="E13" s="111"/>
      <c r="F13" s="112" t="n">
        <f aca="false">($B13*$B$7+$C13*$C$7)/100</f>
        <v>0.0025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1</v>
      </c>
      <c r="L13" s="116"/>
      <c r="M13" s="127" t="s">
        <v>41</v>
      </c>
      <c r="N13" s="128" t="n">
        <f aca="false">COUNTIF(F23:F82,"&gt;0")</f>
        <v>4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4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0.01</v>
      </c>
      <c r="D15" s="111"/>
      <c r="E15" s="111"/>
      <c r="F15" s="112" t="n">
        <f aca="false">($B15*$B$7+$C15*$C$7)/100</f>
        <v>0.0025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47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1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0.11</v>
      </c>
      <c r="C17" s="119" t="n">
        <v>0.03</v>
      </c>
      <c r="D17" s="111"/>
      <c r="E17" s="111"/>
      <c r="F17" s="143"/>
      <c r="G17" s="112" t="n">
        <f aca="false">($B17*$B$7+$C17*$C$7)/100</f>
        <v>0.09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0.01</v>
      </c>
      <c r="D18" s="111"/>
      <c r="E18" s="147" t="s">
        <v>53</v>
      </c>
      <c r="F18" s="143"/>
      <c r="G18" s="112" t="n">
        <f aca="false">($B18*$B$7+$C18*$C$7)/100</f>
        <v>0.0025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0.0925</v>
      </c>
      <c r="G19" s="156" t="n">
        <f aca="false">SUM(G16:G18)</f>
        <v>0.0925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0.11</v>
      </c>
      <c r="C20" s="166" t="n">
        <f aca="false">SUM(C23:C82)</f>
        <v>0.04</v>
      </c>
      <c r="D20" s="167"/>
      <c r="E20" s="168" t="s">
        <v>53</v>
      </c>
      <c r="F20" s="169" t="n">
        <f aca="false">($B20*$B$7+$C20*$C$7)/100</f>
        <v>0.0925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0.0825</v>
      </c>
      <c r="C21" s="179" t="n">
        <f aca="false">C20*C7/100</f>
        <v>0.01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0.0925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0.1</v>
      </c>
      <c r="C23" s="206" t="n">
        <v>0.01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0.0775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6" t="n">
        <f aca="false">IF(ISTEXT(H23),"",(B23*$B$7/100)+(C23*$C$7/100))</f>
        <v>0.0775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16</v>
      </c>
      <c r="B24" s="224" t="n">
        <v>0.01</v>
      </c>
      <c r="C24" s="225" t="n">
        <v>0.01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Hildenbrandia sp.</v>
      </c>
      <c r="E24" s="226" t="e">
        <f aca="false">IF(D24="",0,VLOOKUP(D24,D$22:D23,1,0))</f>
        <v>#N/A</v>
      </c>
      <c r="F24" s="227" t="n">
        <f aca="false">($B24*$B$7+$C24*$C$7)/100</f>
        <v>0.01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15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Hildenbrandia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1157</v>
      </c>
      <c r="Q24" s="216" t="n">
        <f aca="false">IF(ISTEXT(H24),"",(B24*$B$7/100)+(C24*$C$7/100))</f>
        <v>0.01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15</v>
      </c>
      <c r="T24" s="217" t="n">
        <f aca="false">IF(ISERROR(R24*I24*J24),0,R24*I24*J24)</f>
        <v>30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HILSPX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30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78</v>
      </c>
      <c r="B25" s="224" t="n">
        <v>0</v>
      </c>
      <c r="C25" s="225" t="n">
        <v>0.01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Rhynchostegium riparioides</v>
      </c>
      <c r="E25" s="226" t="e">
        <f aca="false">IF(D25="",0,VLOOKUP(D25,D$22:D24,1,0))</f>
        <v>#N/A</v>
      </c>
      <c r="F25" s="227" t="n">
        <f aca="false">($B25*$B$7+$C25*$C$7)/100</f>
        <v>0.0025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BRm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5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12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Rhynchostegium riparioides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1268</v>
      </c>
      <c r="Q25" s="216" t="n">
        <f aca="false">IF(ISTEXT(H25),"",(B25*$B$7/100)+(C25*$C$7/100))</f>
        <v>0.0025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12</v>
      </c>
      <c r="T25" s="217" t="n">
        <f aca="false">IF(ISERROR(R25*I25*J25),0,R25*I25*J25)</f>
        <v>12</v>
      </c>
      <c r="U25" s="229" t="n">
        <f aca="false">IF(ISERROR(R25*J25),0,R25*J25)</f>
        <v>1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RHYRIP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252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79</v>
      </c>
      <c r="B26" s="224" t="n">
        <v>0</v>
      </c>
      <c r="C26" s="225" t="n">
        <v>0.01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Lycopus europaeus</v>
      </c>
      <c r="E26" s="226" t="e">
        <f aca="false">IF(D26="",0,VLOOKUP(D26,D$22:D25,1,0))</f>
        <v>#N/A</v>
      </c>
      <c r="F26" s="227" t="n">
        <f aca="false">($B26*$B$7+$C26*$C$7)/100</f>
        <v>0.0025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PHe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8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11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Lycopus europaeus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1789</v>
      </c>
      <c r="Q26" s="216" t="n">
        <f aca="false">IF(ISTEXT(H26),"",(B26*$B$7/100)+(C26*$C$7/100))</f>
        <v>0.0025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11</v>
      </c>
      <c r="T26" s="217" t="n">
        <f aca="false">IF(ISERROR(R26*I26*J26),0,R26*I26*J26)</f>
        <v>11</v>
      </c>
      <c r="U26" s="229" t="n">
        <f aca="false">IF(ISERROR(R26*J26),0,R26*J26)</f>
        <v>1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LYCEUR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596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/>
      <c r="B27" s="224"/>
      <c r="C27" s="225"/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/>
      </c>
      <c r="E27" s="226" t="n">
        <f aca="false">IF(D27="",0,VLOOKUP(D27,D$22:D26,1,0))</f>
        <v>0</v>
      </c>
      <c r="F27" s="227" t="n">
        <f aca="false">($B27*$B$7+$C27*$C$7)/100</f>
        <v>0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/>
      </c>
      <c r="H27" s="210" t="str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x</v>
      </c>
      <c r="I27" s="211" t="str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/>
      </c>
      <c r="J27" s="211" t="str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/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/>
      </c>
      <c r="L27" s="228"/>
      <c r="M27" s="228"/>
      <c r="N27" s="228"/>
      <c r="O27" s="214"/>
      <c r="P27" s="215" t="str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/>
      </c>
      <c r="Q27" s="216" t="str">
        <f aca="false">IF(ISTEXT(H27),"",(B27*$B$7/100)+(C27*$C$7/100))</f>
        <v/>
      </c>
      <c r="R27" s="217" t="str">
        <f aca="false">IF(OR(ISTEXT(H27),Q27=0),"",IF(Q27&lt;0.1,1,IF(Q27&lt;1,2,IF(Q27&lt;10,3,IF(Q27&lt;50,4,IF(Q27&gt;=50,5,""))))))</f>
        <v/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/>
      </c>
      <c r="Z27" s="10" t="str">
        <f aca="false">IF(ISERROR(MATCH(A27,'[1]liste reference'!$A$8:$A$904,0)),IF(ISERROR(MATCH(A27,'[1]liste reference'!$B$8:$B$904,0)),"",(MATCH(A27,'[1]liste reference'!$B$8:$B$904,0))),(MATCH(A27,'[1]liste reference'!$A$8:$A$904,0)))</f>
        <v/>
      </c>
      <c r="AA27" s="221"/>
      <c r="AB27" s="222"/>
      <c r="AC27" s="222"/>
      <c r="BB27" s="10" t="str">
        <f aca="false">IF(A27="","",1)</f>
        <v/>
      </c>
    </row>
    <row r="28" customFormat="false" ht="12.75" hidden="false" customHeight="false" outlineLevel="0" collapsed="false">
      <c r="A28" s="223"/>
      <c r="B28" s="224"/>
      <c r="C28" s="225"/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/>
      </c>
      <c r="E28" s="226" t="n">
        <f aca="false">IF(D28="",0,VLOOKUP(D28,D$22:D27,1,0))</f>
        <v>0</v>
      </c>
      <c r="F28" s="227" t="n">
        <f aca="false">($B28*$B$7+$C28*$C$7)/100</f>
        <v>0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/>
      </c>
      <c r="H28" s="210" t="str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x</v>
      </c>
      <c r="I28" s="211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1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/>
      </c>
      <c r="L28" s="228"/>
      <c r="M28" s="228"/>
      <c r="N28" s="228"/>
      <c r="O28" s="214"/>
      <c r="P28" s="215" t="str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/>
      </c>
      <c r="Q28" s="216" t="str">
        <f aca="false">IF(ISTEXT(H28),"",(B28*$B$7/100)+(C28*$C$7/100))</f>
        <v/>
      </c>
      <c r="R28" s="217" t="str">
        <f aca="false">IF(OR(ISTEXT(H28),Q28=0),"",IF(Q28&lt;0.1,1,IF(Q28&lt;1,2,IF(Q28&lt;10,3,IF(Q28&lt;50,4,IF(Q28&gt;=50,5,""))))))</f>
        <v/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/>
      </c>
      <c r="Z28" s="10" t="str">
        <f aca="false">IF(ISERROR(MATCH(A28,'[1]liste reference'!$A$8:$A$904,0)),IF(ISERROR(MATCH(A28,'[1]liste reference'!$B$8:$B$904,0)),"",(MATCH(A28,'[1]liste reference'!$B$8:$B$904,0))),(MATCH(A28,'[1]liste reference'!$A$8:$A$904,0)))</f>
        <v/>
      </c>
      <c r="AA28" s="221"/>
      <c r="AB28" s="222"/>
      <c r="AC28" s="222"/>
      <c r="BB28" s="10" t="str">
        <f aca="false">IF(A28="","",1)</f>
        <v/>
      </c>
    </row>
    <row r="29" customFormat="false" ht="12.75" hidden="false" customHeight="false" outlineLevel="0" collapsed="false">
      <c r="A29" s="223"/>
      <c r="B29" s="224"/>
      <c r="C29" s="225"/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/>
      </c>
      <c r="E29" s="226" t="n">
        <f aca="false">IF(D29="",0,VLOOKUP(D29,D$22:D28,1,0))</f>
        <v>0</v>
      </c>
      <c r="F29" s="227" t="n">
        <f aca="false">($B29*$B$7+$C29*$C$7)/100</f>
        <v>0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/>
      </c>
      <c r="H29" s="210" t="str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x</v>
      </c>
      <c r="I29" s="211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1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/>
      </c>
      <c r="L29" s="228"/>
      <c r="M29" s="228"/>
      <c r="N29" s="228"/>
      <c r="O29" s="214"/>
      <c r="P29" s="215" t="str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/>
      </c>
      <c r="Q29" s="216" t="str">
        <f aca="false">IF(ISTEXT(H29),"",(B29*$B$7/100)+(C29*$C$7/100))</f>
        <v/>
      </c>
      <c r="R29" s="217" t="str">
        <f aca="false">IF(OR(ISTEXT(H29),Q29=0),"",IF(Q29&lt;0.1,1,IF(Q29&lt;1,2,IF(Q29&lt;10,3,IF(Q29&lt;50,4,IF(Q29&gt;=50,5,""))))))</f>
        <v/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/>
      </c>
      <c r="Z29" s="10" t="str">
        <f aca="false">IF(ISERROR(MATCH(A29,'[1]liste reference'!$A$8:$A$904,0)),IF(ISERROR(MATCH(A29,'[1]liste reference'!$B$8:$B$904,0)),"",(MATCH(A29,'[1]liste reference'!$B$8:$B$904,0))),(MATCH(A29,'[1]liste reference'!$A$8:$A$904,0)))</f>
        <v/>
      </c>
      <c r="AA29" s="221"/>
      <c r="AB29" s="222"/>
      <c r="AC29" s="222"/>
      <c r="BB29" s="10" t="str">
        <f aca="false">IF(A29="","",1)</f>
        <v/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/>
      </c>
      <c r="H30" s="210" t="str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x</v>
      </c>
      <c r="I30" s="211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1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/>
      </c>
      <c r="Z30" s="10" t="str">
        <f aca="false">IF(ISERROR(MATCH(A30,'[1]liste reference'!$A$8:$A$904,0)),IF(ISERROR(MATCH(A30,'[1]liste reference'!$B$8:$B$904,0)),"",(MATCH(A30,'[1]liste reference'!$B$8:$B$904,0))),(MATCH(A30,'[1]liste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10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10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10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80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VAREZE</v>
      </c>
      <c r="B84" s="259" t="str">
        <f aca="false">C3</f>
        <v>VAREZE A COUR ET BUIS</v>
      </c>
      <c r="C84" s="260" t="n">
        <f aca="false">A4</f>
        <v>41472</v>
      </c>
      <c r="D84" s="261" t="n">
        <f aca="false">IF(ISERROR(SUM($T$23:$T$82)/SUM($U$23:$U$82)),"",SUM($T$23:$T$82)/SUM($U$23:$U$82))</f>
        <v>11.8</v>
      </c>
      <c r="E84" s="262" t="n">
        <f aca="false">N13</f>
        <v>4</v>
      </c>
      <c r="F84" s="259" t="n">
        <f aca="false">N14</f>
        <v>4</v>
      </c>
      <c r="G84" s="259" t="n">
        <f aca="false">N15</f>
        <v>3</v>
      </c>
      <c r="H84" s="259" t="n">
        <f aca="false">N16</f>
        <v>1</v>
      </c>
      <c r="I84" s="259" t="n">
        <f aca="false">N17</f>
        <v>0</v>
      </c>
      <c r="J84" s="263" t="n">
        <f aca="false">N8</f>
        <v>11</v>
      </c>
      <c r="K84" s="261" t="n">
        <f aca="false">N9</f>
        <v>3.24037034920393</v>
      </c>
      <c r="L84" s="262" t="n">
        <f aca="false">N10</f>
        <v>6</v>
      </c>
      <c r="M84" s="262" t="n">
        <f aca="false">N11</f>
        <v>15</v>
      </c>
      <c r="N84" s="261" t="n">
        <f aca="false">O8</f>
        <v>1.25</v>
      </c>
      <c r="O84" s="261" t="n">
        <f aca="false">O9</f>
        <v>0.433012701892219</v>
      </c>
      <c r="P84" s="262" t="n">
        <f aca="false">O10</f>
        <v>1</v>
      </c>
      <c r="Q84" s="262" t="n">
        <f aca="false">O11</f>
        <v>2</v>
      </c>
      <c r="R84" s="262" t="n">
        <f aca="false">F21</f>
        <v>0.0925</v>
      </c>
      <c r="S84" s="262" t="n">
        <f aca="false">K11</f>
        <v>0</v>
      </c>
      <c r="T84" s="262" t="n">
        <f aca="false">K12</f>
        <v>2</v>
      </c>
      <c r="U84" s="262" t="n">
        <f aca="false">K13</f>
        <v>1</v>
      </c>
      <c r="V84" s="264" t="n">
        <f aca="false">K14</f>
        <v>0</v>
      </c>
      <c r="W84" s="265" t="n">
        <f aca="false">K15</f>
        <v>1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81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82</v>
      </c>
      <c r="R87" s="10"/>
      <c r="S87" s="218" t="n">
        <f aca="false">VLOOKUP(MAX($S$23:$S$82),($S$23:$U$82),1,0)</f>
        <v>15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83</v>
      </c>
      <c r="R88" s="10"/>
      <c r="S88" s="218" t="n">
        <f aca="false">VLOOKUP((S87),($S$23:$U$82),2,0)</f>
        <v>30</v>
      </c>
      <c r="T88" s="10"/>
      <c r="U88" s="10"/>
      <c r="V88" s="10"/>
    </row>
    <row r="89" customFormat="false" ht="12.75" hidden="true" customHeight="false" outlineLevel="0" collapsed="false">
      <c r="Q89" s="10" t="s">
        <v>84</v>
      </c>
      <c r="R89" s="10"/>
      <c r="S89" s="218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85</v>
      </c>
      <c r="R90" s="10"/>
      <c r="S90" s="268" t="n">
        <f aca="false">IF(ISERROR(SUM($T$23:$T$82)/SUM($U$23:$U$82)),"",(SUM($T$23:$T$82)-S88)/(SUM($U$23:$U$82)-S89))</f>
        <v>9.66666666666667</v>
      </c>
      <c r="T90" s="10"/>
    </row>
    <row r="91" customFormat="false" ht="12.75" hidden="false" customHeight="false" outlineLevel="0" collapsed="false">
      <c r="Q91" s="217" t="s">
        <v>86</v>
      </c>
      <c r="R91" s="217"/>
      <c r="S91" s="217" t="str">
        <f aca="false">INDEX('[1]liste reference'!$A$8:$A$904,$T$91)</f>
        <v>HILSPX</v>
      </c>
      <c r="T91" s="10" t="n">
        <f aca="false">IF(ISERROR(MATCH($S$93,'[1]liste reference'!$A$8:$A$904,0)),MATCH($S$93,'[1]liste reference'!$B$8:$B$904,0),(MATCH($S$93,'[1]liste reference'!$A$8:$A$904,0)))</f>
        <v>30</v>
      </c>
      <c r="U91" s="257"/>
    </row>
    <row r="92" customFormat="false" ht="12.75" hidden="false" customHeight="false" outlineLevel="0" collapsed="false">
      <c r="Q92" s="10" t="s">
        <v>87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7" t="s">
        <v>88</v>
      </c>
      <c r="R93" s="10"/>
      <c r="S93" s="217" t="str">
        <f aca="false">INDEX($A$23:$A$82,$S$92)</f>
        <v>HILSPX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2013-12-09T15:40:27Z</dcterms:created>
  <dc:creator>Laurent Bourgoin</dc:creator>
  <dc:description/>
  <dc:language>fr-FR</dc:language>
  <cp:lastModifiedBy>Laurent Bourgoin</cp:lastModifiedBy>
  <dcterms:modified xsi:type="dcterms:W3CDTF">2013-12-09T15:43:02Z</dcterms:modified>
  <cp:revision>0</cp:revision>
  <dc:subject/>
  <dc:title/>
</cp:coreProperties>
</file>