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<sst xmlns="http://schemas.openxmlformats.org/spreadsheetml/2006/main" count="159" uniqueCount="94">
  <si>
    <t xml:space="preserve">Relevés floristiques aquatiques - IBMR</t>
  </si>
  <si>
    <t xml:space="preserve">modèle Irstea-GIS</t>
  </si>
  <si>
    <t xml:space="preserve">SAGE ENVIRONNEMENT</t>
  </si>
  <si>
    <t xml:space="preserve">LBOURGOIN MSCHNEIDER</t>
  </si>
  <si>
    <t xml:space="preserve">VAREZE</t>
  </si>
  <si>
    <t xml:space="preserve">VAREZE A COURS ET BUIS</t>
  </si>
  <si>
    <t xml:space="preserve">06820073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</si>
  <si>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</si>
  <si>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</si>
  <si>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</si>
  <si>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</si>
  <si>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</si>
  <si>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</si>
  <si>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</si>
  <si>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</si>
  <si>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</si>
  <si>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MELSPX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</si>
  <si>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</si>
  <si>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</si>
  <si>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</si>
  <si>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</si>
  <si>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</si>
  <si>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</si>
  <si>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</si>
  <si>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</si>
  <si>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</si>
  <si>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</si>
  <si>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</si>
  <si>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</si>
  <si>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</si>
  <si>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</si>
  <si>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</si>
  <si>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</si>
  <si>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</si>
  <si>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</si>
  <si>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</si>
  <si>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</si>
  <si>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</si>
  <si>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</si>
  <si>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</si>
  <si>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</si>
  <si>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</si>
  <si>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</si>
  <si>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</si>
  <si>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</si>
  <si>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</si>
  <si>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</si>
  <si>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</si>
  <si>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</si>
  <si>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</si>
  <si>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</si>
  <si>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</si>
  <si>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</si>
  <si>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</si>
  <si>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</si>
  <si>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</si>
  <si>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</si>
  <si>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</si>
  <si>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</si>
  <si>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</si>
  <si>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</si>
  <si>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</si>
  <si>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</si>
  <si>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</si>
  <si>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</si>
  <si>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</si>
  <si>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</si>
  <si>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</si>
  <si>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</si>
  <si>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</si>
  <si>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</si>
  <si>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</si>
  <si>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</si>
  <si>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</si>
  <si>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</si>
  <si>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</si>
  <si>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</si>
  <si>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</si>
  <si>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</si>
  <si>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</si>
  <si>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</si>
  <si>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</si>
  <si>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PHOSPX</t>
  </si>
  <si>
    <t xml:space="preserve">PELEND</t>
  </si>
  <si>
    <t xml:space="preserve">CRAFIL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</si>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</sst>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VARCO_10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</v>
      </c>
      <c r="N5" s="51"/>
      <c r="O5" s="52" t="s">
        <v>16</v>
      </c>
      <c r="P5" s="53" t="n">
        <v>13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75</v>
      </c>
      <c r="C7" s="69" t="n">
        <v>25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11.8</v>
      </c>
      <c r="P8" s="83" t="n">
        <f aca="false">IF(ISERROR(AVERAGE(K23:K82)),"  ",AVERAGE(K23:K82))</f>
        <v>1.6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16.05</v>
      </c>
      <c r="C9" s="86" t="n">
        <v>10.01</v>
      </c>
      <c r="D9" s="87"/>
      <c r="E9" s="87"/>
      <c r="F9" s="88" t="n">
        <f aca="false">($B9*$B$7+$C9*$C$7)/100</f>
        <v>14.54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3.91918358845309</v>
      </c>
      <c r="P9" s="83" t="n">
        <f aca="false">IF(ISERROR(STDEVP(K23:K82)),"  ",STDEVP(K23:K82))</f>
        <v>0.8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18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16.02</v>
      </c>
      <c r="C12" s="111" t="n">
        <v>10.01</v>
      </c>
      <c r="D12" s="87"/>
      <c r="E12" s="87"/>
      <c r="F12" s="104" t="n">
        <f aca="false">($B12*$B$7+$C12*$C$7)/100</f>
        <v>14.5175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3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0.03</v>
      </c>
      <c r="C13" s="111"/>
      <c r="D13" s="87"/>
      <c r="E13" s="87"/>
      <c r="F13" s="104" t="n">
        <f aca="false">($B13*$B$7+$C13*$C$7)/100</f>
        <v>0.0225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3</v>
      </c>
      <c r="M13" s="108"/>
      <c r="N13" s="116" t="s">
        <v>42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16.05</v>
      </c>
      <c r="C17" s="111" t="n">
        <v>10.01</v>
      </c>
      <c r="D17" s="87"/>
      <c r="E17" s="87"/>
      <c r="F17" s="129"/>
      <c r="G17" s="130" t="n">
        <f aca="false">($B17*$B$7+$C17*$C$7)/100</f>
        <v>14.54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0.833333333333333</v>
      </c>
      <c r="N17" s="116" t="s">
        <v>53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14.54</v>
      </c>
      <c r="G19" s="150" t="n">
        <f aca="false">SUM(G16:G18)</f>
        <v>14.54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16.05</v>
      </c>
      <c r="C20" s="160" t="n">
        <f aca="false">SUM(C23:C62)</f>
        <v>10.01</v>
      </c>
      <c r="D20" s="161"/>
      <c r="E20" s="162" t="s">
        <v>55</v>
      </c>
      <c r="F20" s="163" t="n">
        <f aca="false">($B20*$B$7+$C20*$C$7)/100</f>
        <v>14.54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12.0375</v>
      </c>
      <c r="C21" s="171" t="n">
        <f aca="false">C20*C7/100</f>
        <v>2.5025</v>
      </c>
      <c r="D21" s="172" t="s">
        <v>58</v>
      </c>
      <c r="E21" s="173"/>
      <c r="F21" s="174" t="n">
        <f aca="false">B21+C21</f>
        <v>14.54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0.7525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0.7525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15.003</v>
      </c>
      <c r="C24" s="218" t="n">
        <v>10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13.75225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13.75225</v>
      </c>
      <c r="S24" s="212" t="n">
        <f aca="false">IF(OR(ISTEXT(H24),R24=0),"",IF(R24&lt;0.1,1,IF(R24&lt;1,2,IF(R24&lt;10,3,IF(R24&lt;50,4,IF(R24&gt;=50,5,""))))))</f>
        <v>4</v>
      </c>
      <c r="T24" s="212" t="n">
        <f aca="false">IF(ISERROR(S24*J24),0,S24*J24)</f>
        <v>40</v>
      </c>
      <c r="U24" s="212" t="n">
        <f aca="false">IF(ISERROR(S24*J24*K24),0,S24*J24*K24)</f>
        <v>40</v>
      </c>
      <c r="V24" s="228" t="n">
        <f aca="false">IF(ISERROR(S24*K24),0,S24*K24)</f>
        <v>4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82</v>
      </c>
      <c r="B25" s="217" t="n">
        <v>0.017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Phormidium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0.01275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Phormidium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6414</v>
      </c>
      <c r="R25" s="211" t="n">
        <f aca="false">IF(ISTEXT(H25),"",(B25*$B$7/100)+(C25*$C$7/100))</f>
        <v>0.01275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PHOSPX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88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Pellia endiviifolia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0.0075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BRh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4</v>
      </c>
      <c r="I26" s="8" t="n">
        <f aca="false">IF(A26="","",1)</f>
        <v>1</v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nc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nc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Pellia endiviifolia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1197</v>
      </c>
      <c r="R26" s="211" t="n">
        <f aca="false">IF(ISTEXT(H26),"",(B26*$B$7/100)+(C26*$C$7/100))</f>
        <v>0.0075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PELEND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167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Cratoneuron filicinum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0.0075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18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3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Cratoneuron filicinum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1233</v>
      </c>
      <c r="R27" s="211" t="n">
        <f aca="false">IF(ISTEXT(H27),"",(B27*$B$7/100)+(C27*$C$7/100))</f>
        <v>0.0075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18</v>
      </c>
      <c r="U27" s="212" t="n">
        <f aca="false">IF(ISERROR(S27*J27*K27),0,S27*J27*K27)</f>
        <v>54</v>
      </c>
      <c r="V27" s="228" t="n">
        <f aca="false">IF(ISERROR(S27*K27),0,S27*K27)</f>
        <v>3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CRAFIL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227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Rhynchostegium riparioides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0.0075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Rhynchostegium riparioides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31691</v>
      </c>
      <c r="R28" s="211" t="n">
        <f aca="false">IF(ISTEXT(H28),"",(B28*$B$7/100)+(C28*$C$7/100))</f>
        <v>0.0075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12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RHYRIP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345</v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14.54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VAREZE</v>
      </c>
      <c r="B84" s="180" t="str">
        <f aca="false">C3</f>
        <v>VAREZE A COURS ET BUIS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</v>
      </c>
      <c r="E84" s="254" t="n">
        <f aca="false">O13</f>
        <v>6</v>
      </c>
      <c r="F84" s="180" t="n">
        <f aca="false">O14</f>
        <v>5</v>
      </c>
      <c r="G84" s="180" t="n">
        <f aca="false">O15</f>
        <v>3</v>
      </c>
      <c r="H84" s="180" t="n">
        <f aca="false">O16</f>
        <v>1</v>
      </c>
      <c r="I84" s="180" t="n">
        <f aca="false">O17</f>
        <v>1</v>
      </c>
      <c r="J84" s="255" t="n">
        <f aca="false">O8</f>
        <v>11.8</v>
      </c>
      <c r="K84" s="256" t="n">
        <f aca="false">O9</f>
        <v>3.91918358845309</v>
      </c>
      <c r="L84" s="257" t="n">
        <f aca="false">O10</f>
        <v>6</v>
      </c>
      <c r="M84" s="257" t="n">
        <f aca="false">O11</f>
        <v>18</v>
      </c>
      <c r="N84" s="256" t="n">
        <f aca="false">P8</f>
        <v>1.6</v>
      </c>
      <c r="O84" s="256" t="n">
        <f aca="false">P9</f>
        <v>0.8</v>
      </c>
      <c r="P84" s="257" t="n">
        <f aca="false">P10</f>
        <v>1</v>
      </c>
      <c r="Q84" s="257" t="n">
        <f aca="false">P11</f>
        <v>3</v>
      </c>
      <c r="R84" s="257" t="n">
        <f aca="false">F21</f>
        <v>14.54</v>
      </c>
      <c r="S84" s="257" t="n">
        <f aca="false">L11</f>
        <v>0</v>
      </c>
      <c r="T84" s="257" t="n">
        <f aca="false">L12</f>
        <v>3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87</v>
      </c>
      <c r="S87" s="8"/>
      <c r="T87" s="263" t="n">
        <f aca="false">VLOOKUP($T$91,($A$23:$U$82),20,FALSE())</f>
        <v>40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88</v>
      </c>
      <c r="S88" s="8"/>
      <c r="T88" s="263" t="n">
        <f aca="false">VLOOKUP($T$91,($A$23:$U$82),21,FALSE())</f>
        <v>40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89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90</v>
      </c>
      <c r="S90" s="8" t="s">
        <v>10</v>
      </c>
      <c r="T90" s="264" t="n">
        <f aca="false">IF(OR(ISERROR(SUM($U$23:$U$82)/SUM($V$23:$V$82)),F7&lt;&gt;100),-1,(SUM($U$23:$U$82)-T88)/(SUM($V$23:$V$82)-T89))</f>
        <v>13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91</v>
      </c>
      <c r="S91" s="212"/>
      <c r="T91" s="212" t="str">
        <f aca="false">INDEX('[1]liste reference'!$A$6:$A$1174,$U$91)</f>
        <v>MELSPX</v>
      </c>
      <c r="U91" s="8" t="n">
        <f aca="false">IF(ISERROR(MATCH($T$93,'[1]liste reference'!$A$6:$A$1174,0)),MATCH($T$93,'[1]liste reference'!$B$6:$B$1174,0),(MATCH($T$93,'[1]liste reference'!$A$6:$A$1174,0)))</f>
        <v>62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92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93</v>
      </c>
      <c r="S93" s="8"/>
      <c r="T93" s="212" t="str">
        <f aca="false">INDEX($A$23:$A$82,$T$92)</f>
        <v>MELSPX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2016-04-06T15:12:38Z</dcterms:created>
  <dc:creator>laurianne isebe</dc:creator>
  <dc:description/>
  <dc:language>fr-FR</dc:language>
  <cp:lastModifiedBy>laurianne isebe</cp:lastModifiedBy>
  <dcterms:modified xsi:type="dcterms:W3CDTF">2016-04-06T15:12:42Z</dcterms:modified>
  <cp:revision>0</cp:revision>
  <dc:subject/>
  <dc:title/>
</cp:coreProperties>
</file>