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<sst xmlns="http://schemas.openxmlformats.org/spreadsheetml/2006/main" count="89" uniqueCount="85">
  <si>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</si>
  <si>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</si>
  <si>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</si>
  <si>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MGAUTHIER LISEBE</t>
  </si>
  <si>
    <t xml:space="preserve">conforme AFNOR T90-395 oct. 2003</t>
  </si>
  <si>
    <t xml:space="preserve">VANNE</t>
  </si>
  <si>
    <t xml:space="preserve">VANNE A SAINT BAUDILLET PIPET</t>
  </si>
  <si>
    <t xml:space="preserve">06820180</t>
  </si>
  <si>
    <t xml:space="preserve">AERMC</t>
  </si>
  <si>
    <t xml:space="preserve">Résultats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</si>
  <si>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</si>
  <si>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</si>
  <si>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</si>
  <si>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</si>
  <si>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</si>
  <si>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</si>
  <si>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</si>
  <si>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plat courant</t>
  </si>
  <si>
    <t xml:space="preserve">niv. trophique:</t>
  </si>
  <si>
    <t xml:space="preserve">très élevé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</si>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</sst>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8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8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8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VABAU_26-08-15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41877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/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10</v>
      </c>
      <c r="B5" s="44" t="s">
        <v>11</v>
      </c>
      <c r="C5" s="45" t="s">
        <v>12</v>
      </c>
      <c r="D5" s="46"/>
      <c r="E5" s="46"/>
      <c r="F5" s="47" t="s">
        <v>13</v>
      </c>
      <c r="G5" s="48"/>
      <c r="H5" s="46"/>
      <c r="I5" s="49"/>
      <c r="J5" s="50"/>
      <c r="K5" s="51" t="s">
        <v>14</v>
      </c>
      <c r="L5" s="52" t="n">
        <v>6</v>
      </c>
      <c r="M5" s="53"/>
      <c r="N5" s="54"/>
      <c r="O5" s="55"/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15</v>
      </c>
      <c r="B6" s="57" t="s">
        <v>16</v>
      </c>
      <c r="C6" s="57" t="s">
        <v>17</v>
      </c>
      <c r="D6" s="46"/>
      <c r="E6" s="46"/>
      <c r="F6" s="47"/>
      <c r="G6" s="48"/>
      <c r="H6" s="46"/>
      <c r="I6" s="58" t="s">
        <v>18</v>
      </c>
      <c r="J6" s="59"/>
      <c r="K6" s="60"/>
      <c r="L6" s="61" t="s">
        <v>19</v>
      </c>
      <c r="M6" s="62"/>
      <c r="N6" s="63"/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20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21</v>
      </c>
      <c r="O7" s="77" t="s">
        <v>22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23</v>
      </c>
      <c r="B8" s="79"/>
      <c r="C8" s="79"/>
      <c r="D8" s="68"/>
      <c r="E8" s="68"/>
      <c r="F8" s="80" t="s">
        <v>24</v>
      </c>
      <c r="G8" s="81"/>
      <c r="H8" s="82"/>
      <c r="I8" s="71"/>
      <c r="J8" s="72"/>
      <c r="K8" s="73"/>
      <c r="L8" s="74"/>
      <c r="M8" s="83" t="s">
        <v>25</v>
      </c>
      <c r="N8" s="84" t="n">
        <f aca="false">IF(ISERROR(AVERAGE(I23:I82)),"     -",AVERAGE(I23:I82))</f>
        <v>6</v>
      </c>
      <c r="O8" s="84" t="n">
        <f aca="false">IF(ISERROR(AVERAGE(J23:J82)),"      -",AVERAGE(J23:J82))</f>
        <v>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26</v>
      </c>
      <c r="B9" s="86" t="n">
        <v>0.01</v>
      </c>
      <c r="C9" s="87" t="n">
        <v>0</v>
      </c>
      <c r="D9" s="88"/>
      <c r="E9" s="88"/>
      <c r="F9" s="89" t="n">
        <f aca="false">($B9*$B$7+$C9*$C$7)/100</f>
        <v>0.0099</v>
      </c>
      <c r="G9" s="90"/>
      <c r="H9" s="91"/>
      <c r="I9" s="92"/>
      <c r="J9" s="93"/>
      <c r="K9" s="73"/>
      <c r="L9" s="94"/>
      <c r="M9" s="83" t="s">
        <v>27</v>
      </c>
      <c r="N9" s="84" t="n">
        <f aca="false">IF(ISERROR(STDEVP(I23:I82)),"     -",STDEVP(I23:I82))</f>
        <v>0</v>
      </c>
      <c r="O9" s="84" t="n">
        <f aca="false">IF(ISERROR(STDEVP(J23:J82)),"      -",STDEVP(J23:J82))</f>
        <v>0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28</v>
      </c>
      <c r="B10" s="98" t="s">
        <v>29</v>
      </c>
      <c r="C10" s="99" t="s">
        <v>29</v>
      </c>
      <c r="D10" s="100"/>
      <c r="E10" s="100"/>
      <c r="F10" s="89"/>
      <c r="G10" s="90"/>
      <c r="H10" s="101"/>
      <c r="I10" s="102"/>
      <c r="J10" s="103" t="s">
        <v>30</v>
      </c>
      <c r="K10" s="103"/>
      <c r="L10" s="104"/>
      <c r="M10" s="105" t="s">
        <v>31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32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33</v>
      </c>
      <c r="J11" s="114"/>
      <c r="K11" s="115" t="n">
        <f aca="false">COUNTIF($G$23:$G$82,"=HET")</f>
        <v>0</v>
      </c>
      <c r="L11" s="116"/>
      <c r="M11" s="105" t="s">
        <v>34</v>
      </c>
      <c r="N11" s="106" t="n">
        <f aca="false">MAX(I23:I82)</f>
        <v>6</v>
      </c>
      <c r="O11" s="106" t="n">
        <f aca="false">MAX(J23:J82)</f>
        <v>1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35</v>
      </c>
      <c r="B12" s="118" t="n">
        <v>0.01</v>
      </c>
      <c r="C12" s="119"/>
      <c r="D12" s="111"/>
      <c r="E12" s="111"/>
      <c r="F12" s="112" t="n">
        <f aca="false">($B12*$B$7+$C12*$C$7)/100</f>
        <v>0.0099</v>
      </c>
      <c r="G12" s="120"/>
      <c r="H12" s="68"/>
      <c r="I12" s="121" t="s">
        <v>36</v>
      </c>
      <c r="J12" s="121"/>
      <c r="K12" s="115" t="n">
        <f aca="false">COUNTIF($G$23:$G$82,"=ALG")</f>
        <v>1</v>
      </c>
      <c r="L12" s="122"/>
      <c r="M12" s="123"/>
      <c r="N12" s="124" t="s">
        <v>30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37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38</v>
      </c>
      <c r="J13" s="121"/>
      <c r="K13" s="115" t="n">
        <f aca="false">COUNTIF($G$23:$G$82,"=BRm")+COUNTIF($G$23:$G$82,"=BRh")</f>
        <v>0</v>
      </c>
      <c r="L13" s="116"/>
      <c r="M13" s="127" t="s">
        <v>39</v>
      </c>
      <c r="N13" s="128" t="n">
        <f aca="false">COUNTIF(F23:F82,"&gt;0")</f>
        <v>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40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41</v>
      </c>
      <c r="J14" s="121"/>
      <c r="K14" s="115" t="n">
        <f aca="false">COUNTIF($G$23:$G$82,"=PTE")+COUNTIF($G$23:$G$82,"=LIC")</f>
        <v>0</v>
      </c>
      <c r="L14" s="116"/>
      <c r="M14" s="131" t="s">
        <v>42</v>
      </c>
      <c r="N14" s="132" t="n">
        <f aca="false">COUNTIF($I$23:$I$82,"&gt;-1")</f>
        <v>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43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44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45</v>
      </c>
      <c r="N15" s="138" t="n">
        <f aca="false">COUNTIF(J23:J82,"=1")</f>
        <v>1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46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47</v>
      </c>
      <c r="N16" s="138" t="n">
        <f aca="false">COUNTIF(J23:J82,"=2")</f>
        <v>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48</v>
      </c>
      <c r="B17" s="118" t="n">
        <v>0.01</v>
      </c>
      <c r="C17" s="119"/>
      <c r="D17" s="111"/>
      <c r="E17" s="111"/>
      <c r="F17" s="143"/>
      <c r="G17" s="112" t="n">
        <f aca="false">($B17*$B$7+$C17*$C$7)/100</f>
        <v>0.0099</v>
      </c>
      <c r="H17" s="68"/>
      <c r="I17" s="121"/>
      <c r="J17" s="121"/>
      <c r="K17" s="142"/>
      <c r="L17" s="116"/>
      <c r="M17" s="137" t="s">
        <v>49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50</v>
      </c>
      <c r="B18" s="145"/>
      <c r="C18" s="146"/>
      <c r="D18" s="111"/>
      <c r="E18" s="147" t="s">
        <v>51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0.0099</v>
      </c>
      <c r="G19" s="156" t="n">
        <f aca="false">SUM(G16:G18)</f>
        <v>0.0099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52</v>
      </c>
      <c r="B20" s="165" t="n">
        <f aca="false">SUM(B23:B82)</f>
        <v>0.01</v>
      </c>
      <c r="C20" s="166" t="n">
        <f aca="false">SUM(C23:C82)</f>
        <v>0</v>
      </c>
      <c r="D20" s="167"/>
      <c r="E20" s="168" t="s">
        <v>51</v>
      </c>
      <c r="F20" s="169" t="n">
        <f aca="false">($B20*$B$7+$C20*$C$7)/100</f>
        <v>0.0099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53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54</v>
      </c>
      <c r="B21" s="179" t="n">
        <f aca="false">B20*B7/100</f>
        <v>0.0099</v>
      </c>
      <c r="C21" s="179" t="n">
        <f aca="false">C20*C7/100</f>
        <v>0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0.0099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55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56</v>
      </c>
      <c r="B22" s="190" t="s">
        <v>57</v>
      </c>
      <c r="C22" s="191" t="s">
        <v>57</v>
      </c>
      <c r="D22" s="140"/>
      <c r="E22" s="140"/>
      <c r="F22" s="192" t="s">
        <v>58</v>
      </c>
      <c r="G22" s="193" t="s">
        <v>59</v>
      </c>
      <c r="H22" s="140"/>
      <c r="I22" s="194" t="s">
        <v>60</v>
      </c>
      <c r="J22" s="194" t="s">
        <v>61</v>
      </c>
      <c r="K22" s="195" t="s">
        <v>62</v>
      </c>
      <c r="L22" s="195"/>
      <c r="M22" s="195"/>
      <c r="N22" s="195"/>
      <c r="O22" s="195"/>
      <c r="P22" s="196" t="s">
        <v>63</v>
      </c>
      <c r="Q22" s="197" t="s">
        <v>64</v>
      </c>
      <c r="R22" s="198" t="s">
        <v>65</v>
      </c>
      <c r="S22" s="199" t="s">
        <v>66</v>
      </c>
      <c r="T22" s="200" t="s">
        <v>67</v>
      </c>
      <c r="U22" s="201" t="s">
        <v>68</v>
      </c>
      <c r="V22" s="199" t="s">
        <v>69</v>
      </c>
      <c r="Y22" s="10" t="s">
        <v>70</v>
      </c>
      <c r="Z22" s="10" t="s">
        <v>71</v>
      </c>
      <c r="AA22" s="202" t="s">
        <v>72</v>
      </c>
      <c r="AB22" s="202" t="s">
        <v>73</v>
      </c>
      <c r="AC22" s="203" t="s">
        <v>74</v>
      </c>
    </row>
    <row r="23" customFormat="false" ht="12.75" hidden="false" customHeight="false" outlineLevel="0" collapsed="false">
      <c r="A23" s="204" t="s">
        <v>75</v>
      </c>
      <c r="B23" s="205" t="n">
        <v>0.01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0.0099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0.0099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/>
      <c r="B24" s="224"/>
      <c r="C24" s="225"/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/>
      </c>
      <c r="E24" s="226" t="n">
        <f aca="false">IF(D24="",0,VLOOKUP(D24,D$22:D23,1,0))</f>
        <v>0</v>
      </c>
      <c r="F24" s="227" t="n">
        <f aca="false">($B24*$B$7+$C24*$C$7)/100</f>
        <v>0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/>
      </c>
      <c r="H24" s="210" t="str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x</v>
      </c>
      <c r="I24" s="211" t="str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/>
      </c>
      <c r="J24" s="211" t="str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/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/>
      </c>
      <c r="L24" s="228"/>
      <c r="M24" s="228"/>
      <c r="N24" s="228"/>
      <c r="O24" s="214"/>
      <c r="P24" s="215" t="str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/>
      </c>
      <c r="Q24" s="216" t="str">
        <f aca="false">IF(ISTEXT(H24),"",(B24*$B$7/100)+(C24*$C$7/100))</f>
        <v/>
      </c>
      <c r="R24" s="217" t="str">
        <f aca="false">IF(OR(ISTEXT(H24),Q24=0),"",IF(Q24&lt;0.1,1,IF(Q24&lt;1,2,IF(Q24&lt;10,3,IF(Q24&lt;50,4,IF(Q24&gt;=50,5,""))))))</f>
        <v/>
      </c>
      <c r="S24" s="217" t="n">
        <f aca="false">IF(ISERROR(R24*I24),0,R24*I24)</f>
        <v>0</v>
      </c>
      <c r="T24" s="217" t="n">
        <f aca="false">IF(ISERROR(R24*I24*J24),0,R24*I24*J24)</f>
        <v>0</v>
      </c>
      <c r="U24" s="229" t="n">
        <f aca="false">IF(ISERROR(R24*J24),0,R24*J24)</f>
        <v>0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/>
      </c>
      <c r="Z24" s="10" t="str">
        <f aca="false">IF(ISERROR(MATCH(A24,'[2]liste reference'!$A$8:$A$904,0)),IF(ISERROR(MATCH(A24,'[2]liste reference'!$B$8:$B$904,0)),"",(MATCH(A24,'[2]liste reference'!$B$8:$B$904,0))),(MATCH(A24,'[2]liste reference'!$A$8:$A$904,0)))</f>
        <v/>
      </c>
      <c r="AA24" s="221"/>
      <c r="AB24" s="222"/>
      <c r="AC24" s="222"/>
      <c r="BB24" s="10" t="str">
        <f aca="false">IF(A24="","",1)</f>
        <v/>
      </c>
    </row>
    <row r="25" customFormat="false" ht="12.75" hidden="false" customHeight="false" outlineLevel="0" collapsed="false">
      <c r="A25" s="223"/>
      <c r="B25" s="224"/>
      <c r="C25" s="225"/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/>
      </c>
      <c r="E25" s="226" t="n">
        <f aca="false">IF(D25="",0,VLOOKUP(D25,D$22:D24,1,0))</f>
        <v>0</v>
      </c>
      <c r="F25" s="227" t="n">
        <f aca="false">($B25*$B$7+$C25*$C$7)/100</f>
        <v>0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/>
      </c>
      <c r="H25" s="210" t="str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x</v>
      </c>
      <c r="I25" s="211" t="str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/>
      </c>
      <c r="J25" s="211" t="str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/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/>
      </c>
      <c r="L25" s="228"/>
      <c r="M25" s="228"/>
      <c r="N25" s="228"/>
      <c r="O25" s="214"/>
      <c r="P25" s="215" t="str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/>
      </c>
      <c r="Q25" s="216" t="str">
        <f aca="false">IF(ISTEXT(H25),"",(B25*$B$7/100)+(C25*$C$7/100))</f>
        <v/>
      </c>
      <c r="R25" s="217" t="str">
        <f aca="false">IF(OR(ISTEXT(H25),Q25=0),"",IF(Q25&lt;0.1,1,IF(Q25&lt;1,2,IF(Q25&lt;10,3,IF(Q25&lt;50,4,IF(Q25&gt;=50,5,""))))))</f>
        <v/>
      </c>
      <c r="S25" s="217" t="n">
        <f aca="false">IF(ISERROR(R25*I25),0,R25*I25)</f>
        <v>0</v>
      </c>
      <c r="T25" s="217" t="n">
        <f aca="false">IF(ISERROR(R25*I25*J25),0,R25*I25*J25)</f>
        <v>0</v>
      </c>
      <c r="U25" s="229" t="n">
        <f aca="false">IF(ISERROR(R25*J25),0,R25*J25)</f>
        <v>0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/>
      </c>
      <c r="Z25" s="10" t="str">
        <f aca="false">IF(ISERROR(MATCH(A25,'[2]liste reference'!$A$8:$A$904,0)),IF(ISERROR(MATCH(A25,'[2]liste reference'!$B$8:$B$904,0)),"",(MATCH(A25,'[2]liste reference'!$B$8:$B$904,0))),(MATCH(A25,'[2]liste reference'!$A$8:$A$904,0)))</f>
        <v/>
      </c>
      <c r="AA25" s="221"/>
      <c r="AB25" s="222"/>
      <c r="AC25" s="222"/>
      <c r="BB25" s="10" t="str">
        <f aca="false">IF(A25="","",1)</f>
        <v/>
      </c>
    </row>
    <row r="26" customFormat="false" ht="12.75" hidden="false" customHeight="false" outlineLevel="0" collapsed="false">
      <c r="A26" s="223"/>
      <c r="B26" s="224"/>
      <c r="C26" s="225"/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/>
      </c>
      <c r="E26" s="226" t="n">
        <f aca="false">IF(D26="",0,VLOOKUP(D26,D$22:D25,1,0))</f>
        <v>0</v>
      </c>
      <c r="F26" s="227" t="n">
        <f aca="false">($B26*$B$7+$C26*$C$7)/100</f>
        <v>0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/>
      </c>
      <c r="H26" s="210" t="str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x</v>
      </c>
      <c r="I26" s="211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1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/>
      </c>
      <c r="L26" s="228"/>
      <c r="M26" s="228"/>
      <c r="N26" s="228"/>
      <c r="O26" s="214"/>
      <c r="P26" s="215" t="str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/>
      </c>
      <c r="Q26" s="216" t="str">
        <f aca="false">IF(ISTEXT(H26),"",(B26*$B$7/100)+(C26*$C$7/100))</f>
        <v/>
      </c>
      <c r="R26" s="217" t="str">
        <f aca="false">IF(OR(ISTEXT(H26),Q26=0),"",IF(Q26&lt;0.1,1,IF(Q26&lt;1,2,IF(Q26&lt;10,3,IF(Q26&lt;50,4,IF(Q26&gt;=50,5,""))))))</f>
        <v/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/>
      </c>
      <c r="Z26" s="10" t="str">
        <f aca="false">IF(ISERROR(MATCH(A26,'[2]liste reference'!$A$8:$A$904,0)),IF(ISERROR(MATCH(A26,'[2]liste reference'!$B$8:$B$904,0)),"",(MATCH(A26,'[2]liste reference'!$B$8:$B$904,0))),(MATCH(A26,'[2]liste reference'!$A$8:$A$904,0)))</f>
        <v/>
      </c>
      <c r="AA26" s="221"/>
      <c r="AB26" s="222"/>
      <c r="AC26" s="222"/>
      <c r="BB26" s="10" t="str">
        <f aca="false">IF(A26="","",1)</f>
        <v/>
      </c>
    </row>
    <row r="27" customFormat="false" ht="12.75" hidden="false" customHeight="false" outlineLevel="0" collapsed="false">
      <c r="A27" s="223"/>
      <c r="B27" s="224"/>
      <c r="C27" s="225"/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/>
      </c>
      <c r="E27" s="226" t="n">
        <f aca="false">IF(D27="",0,VLOOKUP(D27,D$22:D26,1,0))</f>
        <v>0</v>
      </c>
      <c r="F27" s="227" t="n">
        <f aca="false">($B27*$B$7+$C27*$C$7)/100</f>
        <v>0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/>
      </c>
      <c r="H27" s="210" t="str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x</v>
      </c>
      <c r="I27" s="211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1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/>
      </c>
      <c r="L27" s="228"/>
      <c r="M27" s="228"/>
      <c r="N27" s="228"/>
      <c r="O27" s="214"/>
      <c r="P27" s="215" t="str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/>
      </c>
      <c r="Q27" s="216" t="str">
        <f aca="false">IF(ISTEXT(H27),"",(B27*$B$7/100)+(C27*$C$7/100))</f>
        <v/>
      </c>
      <c r="R27" s="217" t="str">
        <f aca="false">IF(OR(ISTEXT(H27),Q27=0),"",IF(Q27&lt;0.1,1,IF(Q27&lt;1,2,IF(Q27&lt;10,3,IF(Q27&lt;50,4,IF(Q27&gt;=50,5,""))))))</f>
        <v/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/>
      </c>
      <c r="Z27" s="10" t="str">
        <f aca="false">IF(ISERROR(MATCH(A27,'[2]liste reference'!$A$8:$A$904,0)),IF(ISERROR(MATCH(A27,'[2]liste reference'!$B$8:$B$904,0)),"",(MATCH(A27,'[2]liste reference'!$B$8:$B$904,0))),(MATCH(A27,'[2]liste reference'!$A$8:$A$904,0)))</f>
        <v/>
      </c>
      <c r="AA27" s="221"/>
      <c r="AB27" s="222"/>
      <c r="AC27" s="222"/>
      <c r="BB27" s="10" t="str">
        <f aca="false">IF(A27="","",1)</f>
        <v/>
      </c>
    </row>
    <row r="28" customFormat="false" ht="12.75" hidden="false" customHeight="false" outlineLevel="0" collapsed="false">
      <c r="A28" s="223"/>
      <c r="B28" s="224"/>
      <c r="C28" s="225"/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6" t="n">
        <f aca="false">IF(D28="",0,VLOOKUP(D28,D$22:D27,1,0))</f>
        <v>0</v>
      </c>
      <c r="F28" s="227" t="n">
        <f aca="false">($B28*$B$7+$C28*$C$7)/100</f>
        <v>0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10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1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1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8"/>
      <c r="M28" s="228"/>
      <c r="N28" s="228"/>
      <c r="O28" s="214"/>
      <c r="P28" s="215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9" t="n">
        <f aca="false">IF(ISERROR(R28*J28),0,R28*J28)</f>
        <v>0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1"/>
      <c r="AB28" s="222"/>
      <c r="AC28" s="222"/>
      <c r="BB28" s="10" t="str">
        <f aca="false">IF(A28="","",1)</f>
        <v/>
      </c>
    </row>
    <row r="29" customFormat="false" ht="12.75" hidden="false" customHeight="false" outlineLevel="0" collapsed="false">
      <c r="A29" s="223"/>
      <c r="B29" s="224"/>
      <c r="C29" s="225"/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6" t="n">
        <f aca="false">IF(D29="",0,VLOOKUP(D29,D$22:D28,1,0))</f>
        <v>0</v>
      </c>
      <c r="F29" s="227" t="n">
        <f aca="false">($B29*$B$7+$C29*$C$7)/100</f>
        <v>0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10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1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1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8"/>
      <c r="M29" s="228"/>
      <c r="N29" s="228"/>
      <c r="O29" s="214"/>
      <c r="P29" s="215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6" t="str">
        <f aca="false">IF(ISTEXT(H29),"",(B29*$B$7/100)+(C29*$C$7/100))</f>
        <v/>
      </c>
      <c r="R29" s="217" t="str">
        <f aca="false">IF(OR(ISTEXT(H29),Q29=0),"",IF(Q29&lt;0.1,1,IF(Q29&lt;1,2,IF(Q29&lt;10,3,IF(Q29&lt;50,4,IF(Q29&gt;=50,5,""))))))</f>
        <v/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1"/>
      <c r="AB29" s="222"/>
      <c r="AC29" s="222"/>
      <c r="BB29" s="10" t="str">
        <f aca="false">IF(A29="","",1)</f>
        <v/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76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VANNE</v>
      </c>
      <c r="B84" s="259" t="str">
        <f aca="false">C3</f>
        <v>VANNE A SAINT BAUDILLET PIPET</v>
      </c>
      <c r="C84" s="260" t="n">
        <f aca="false">A4</f>
        <v>41877</v>
      </c>
      <c r="D84" s="261" t="n">
        <f aca="false">IF(ISERROR(SUM($T$23:$T$82)/SUM($U$23:$U$82)),"",SUM($T$23:$T$82)/SUM($U$23:$U$82))</f>
        <v>6</v>
      </c>
      <c r="E84" s="262" t="n">
        <f aca="false">N13</f>
        <v>1</v>
      </c>
      <c r="F84" s="259" t="n">
        <f aca="false">N14</f>
        <v>1</v>
      </c>
      <c r="G84" s="259" t="n">
        <f aca="false">N15</f>
        <v>1</v>
      </c>
      <c r="H84" s="259" t="n">
        <f aca="false">N16</f>
        <v>0</v>
      </c>
      <c r="I84" s="259" t="n">
        <f aca="false">N17</f>
        <v>0</v>
      </c>
      <c r="J84" s="263" t="n">
        <f aca="false">N8</f>
        <v>6</v>
      </c>
      <c r="K84" s="261" t="n">
        <f aca="false">N9</f>
        <v>0</v>
      </c>
      <c r="L84" s="262" t="n">
        <f aca="false">N10</f>
        <v>6</v>
      </c>
      <c r="M84" s="262" t="n">
        <f aca="false">N11</f>
        <v>6</v>
      </c>
      <c r="N84" s="261" t="n">
        <f aca="false">O8</f>
        <v>1</v>
      </c>
      <c r="O84" s="261" t="n">
        <f aca="false">O9</f>
        <v>0</v>
      </c>
      <c r="P84" s="262" t="n">
        <f aca="false">O10</f>
        <v>1</v>
      </c>
      <c r="Q84" s="262" t="n">
        <f aca="false">O11</f>
        <v>1</v>
      </c>
      <c r="R84" s="262" t="n">
        <f aca="false">F21</f>
        <v>0.0099</v>
      </c>
      <c r="S84" s="262" t="n">
        <f aca="false">K11</f>
        <v>0</v>
      </c>
      <c r="T84" s="262" t="n">
        <f aca="false">K12</f>
        <v>1</v>
      </c>
      <c r="U84" s="262" t="n">
        <f aca="false">K13</f>
        <v>0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77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78</v>
      </c>
      <c r="R87" s="10"/>
      <c r="S87" s="218" t="n">
        <f aca="false">VLOOKUP(MAX($S$23:$S$82),($S$23:$U$82),1,0)</f>
        <v>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79</v>
      </c>
      <c r="R88" s="10"/>
      <c r="S88" s="218" t="n">
        <f aca="false">VLOOKUP((S87),($S$23:$U$82),2,0)</f>
        <v>6</v>
      </c>
      <c r="T88" s="10"/>
      <c r="U88" s="10"/>
      <c r="V88" s="10"/>
    </row>
    <row r="89" customFormat="false" ht="12.75" hidden="true" customHeight="false" outlineLevel="0" collapsed="false">
      <c r="Q89" s="10" t="s">
        <v>80</v>
      </c>
      <c r="R89" s="10"/>
      <c r="S89" s="218" t="n">
        <f aca="false">VLOOKUP((S87),($S$23:$U$82),3,0)</f>
        <v>1</v>
      </c>
      <c r="T89" s="10"/>
    </row>
    <row r="90" customFormat="false" ht="12.75" hidden="false" customHeight="false" outlineLevel="0" collapsed="false">
      <c r="Q90" s="10" t="s">
        <v>81</v>
      </c>
      <c r="R90" s="10"/>
      <c r="S90" s="268" t="e">
        <f aca="false">IF(ISERROR(SUM($T$23:$T$82)/SUM($U$23:$U$82)),"",(SUM($T$23:$T$82)-S88)/(SUM($U$23:$U$82)-S89))</f>
        <v>#DIV/0!</v>
      </c>
      <c r="T90" s="10"/>
    </row>
    <row r="91" customFormat="false" ht="12.75" hidden="false" customHeight="false" outlineLevel="0" collapsed="false">
      <c r="Q91" s="217" t="s">
        <v>82</v>
      </c>
      <c r="R91" s="217"/>
      <c r="S91" s="217" t="str">
        <f aca="false">INDEX('[2]liste reference'!$A$8:$A$904,$T$91)</f>
        <v>CLASPX</v>
      </c>
      <c r="T91" s="10" t="n">
        <f aca="false">IF(ISERROR(MATCH($S$93,'[2]liste reference'!$A$8:$A$904,0)),MATCH($S$93,'[2]liste reference'!$B$8:$B$904,0),(MATCH($S$93,'[2]liste reference'!$A$8:$A$904,0)))</f>
        <v>23</v>
      </c>
      <c r="U91" s="257"/>
    </row>
    <row r="92" customFormat="false" ht="12.75" hidden="false" customHeight="false" outlineLevel="0" collapsed="false">
      <c r="Q92" s="10" t="s">
        <v>83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84</v>
      </c>
      <c r="R93" s="10"/>
      <c r="S93" s="217" t="str">
        <f aca="false">INDEX($A$23:$A$82,$S$92)</f>
        <v>CLASPX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2015-03-17T12:41:37Z</dcterms:created>
  <dc:creator>Laurent Bourgoin</dc:creator>
  <dc:description/>
  <dc:language>fr-FR</dc:language>
  <cp:lastModifiedBy>Laurent Bourgoin</cp:lastModifiedBy>
  <dcterms:modified xsi:type="dcterms:W3CDTF">2015-03-17T12:41:42Z</dcterms:modified>
  <cp:revision>0</cp:revision>
  <dc:subject/>
  <dc:title/>
</cp:coreProperties>
</file>