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<sst xmlns="http://schemas.openxmlformats.org/spreadsheetml/2006/main" count="117" uniqueCount="112">
  <si>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</si>
  <si>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</si>
  <si>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</si>
  <si>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S.RENAHY</t>
  </si>
  <si>
    <t xml:space="preserve">conforme AFNOR T90-395 oct. 2003</t>
  </si>
  <si>
    <t xml:space="preserve">Eau Morte</t>
  </si>
  <si>
    <t xml:space="preserve">Eau Morte à Doussard</t>
  </si>
  <si>
    <t xml:space="preserve">06830079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</si>
  <si>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</si>
  <si>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</si>
  <si>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</si>
  <si>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</si>
  <si>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</si>
  <si>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</si>
  <si>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</si>
  <si>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</si>
  <si>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</si>
  <si>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</si>
  <si>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</si>
  <si>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</si>
  <si>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</si>
  <si>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</si>
  <si>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</si>
  <si>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</si>
  <si>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</si>
  <si>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</si>
  <si>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</si>
  <si>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</si>
  <si>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</si>
  <si>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</si>
  <si>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</si>
  <si>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</si>
  <si>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</si>
  <si>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</si>
  <si>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</si>
  <si>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</si>
  <si>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</si>
  <si>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</si>
  <si>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</si>
  <si>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</si>
  <si>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</si>
  <si>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</si>
  <si>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</si>
  <si>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</si>
  <si>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</si>
  <si>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</si>
  <si>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</si>
  <si>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</si>
  <si>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</si>
  <si>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</si>
  <si>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</si>
  <si>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</si>
  <si>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</si>
  <si>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</si>
  <si>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</si>
  <si>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</si>
  <si>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</si>
  <si>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</si>
  <si>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</si>
  <si>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</si>
  <si>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</si>
  <si>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</si>
  <si>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</si>
  <si>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</si>
  <si>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</si>
  <si>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</si>
  <si>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</si>
  <si>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</si>
  <si>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</si>
  <si>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</si>
  <si>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</si>
  <si>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</si>
  <si>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</si>
  <si>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</si>
  <si>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</si>
  <si>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</si>
  <si>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</si>
  <si>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</si>
  <si>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</si>
  <si>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</si>
  <si>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AUDSPX</t>
  </si>
  <si>
    <t xml:space="preserve">BANSPX</t>
  </si>
  <si>
    <t xml:space="preserve">CLASPX</t>
  </si>
  <si>
    <t xml:space="preserve">DIASPX</t>
  </si>
  <si>
    <t xml:space="preserve">HYUSPX</t>
  </si>
  <si>
    <t xml:space="preserve">LEASPX</t>
  </si>
  <si>
    <t xml:space="preserve">MICSPX</t>
  </si>
  <si>
    <t xml:space="preserve">NOSSPX</t>
  </si>
  <si>
    <t xml:space="preserve">PHOSPX</t>
  </si>
  <si>
    <t xml:space="preserve">TETSPX</t>
  </si>
  <si>
    <t xml:space="preserve">ULOSPX</t>
  </si>
  <si>
    <t xml:space="preserve">VAUSPX</t>
  </si>
  <si>
    <t xml:space="preserve">PELEND</t>
  </si>
  <si>
    <t xml:space="preserve">CINAQU</t>
  </si>
  <si>
    <t xml:space="preserve">CINFON</t>
  </si>
  <si>
    <t xml:space="preserve">CRACOM</t>
  </si>
  <si>
    <t xml:space="preserve">CRAFIL</t>
  </si>
  <si>
    <t xml:space="preserve">FISCRA</t>
  </si>
  <si>
    <t xml:space="preserve">FONANT</t>
  </si>
  <si>
    <t xml:space="preserve">RHYRIP</t>
  </si>
  <si>
    <t xml:space="preserve">AGRSTO</t>
  </si>
  <si>
    <t xml:space="preserve">PHAARU</t>
  </si>
  <si>
    <t xml:space="preserve">SCISYL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</si>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</sst>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EAUMO_11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12.7846153846154</v>
      </c>
      <c r="M5" s="53"/>
      <c r="N5" s="54" t="s">
        <v>16</v>
      </c>
      <c r="O5" s="55" t="n">
        <v>12.7543859649123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11.695652173913</v>
      </c>
      <c r="O8" s="84" t="n">
        <f aca="false">IF(ISERROR(AVERAGE(J23:J82)),"      -",AVERAGE(J23:J82))</f>
        <v>1.65217391304348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45.84</v>
      </c>
      <c r="C9" s="87" t="n">
        <v>36.34</v>
      </c>
      <c r="D9" s="88"/>
      <c r="E9" s="88"/>
      <c r="F9" s="89" t="n">
        <f aca="false">($B9*$B$7+$C9*$C$7)/100</f>
        <v>44.415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3.04223577122364</v>
      </c>
      <c r="O9" s="84" t="n">
        <f aca="false">IF(ISERROR(STDEVP(J23:J82)),"      -",STDEVP(J23:J82))</f>
        <v>0.560178205509788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20.59</v>
      </c>
      <c r="C12" s="119" t="n">
        <v>30.3</v>
      </c>
      <c r="D12" s="111"/>
      <c r="E12" s="111"/>
      <c r="F12" s="112" t="n">
        <f aca="false">($B12*$B$7+$C12*$C$7)/100</f>
        <v>22.0465</v>
      </c>
      <c r="G12" s="120"/>
      <c r="H12" s="68"/>
      <c r="I12" s="121" t="s">
        <v>39</v>
      </c>
      <c r="J12" s="121"/>
      <c r="K12" s="115" t="n">
        <f aca="false">COUNTIF($G$23:$G$82,"=ALG")</f>
        <v>12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25.25</v>
      </c>
      <c r="C13" s="119" t="n">
        <v>6.01</v>
      </c>
      <c r="D13" s="111"/>
      <c r="E13" s="111"/>
      <c r="F13" s="112" t="n">
        <f aca="false">($B13*$B$7+$C13*$C$7)/100</f>
        <v>22.364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9</v>
      </c>
      <c r="L13" s="116"/>
      <c r="M13" s="127" t="s">
        <v>42</v>
      </c>
      <c r="N13" s="128" t="n">
        <f aca="false">COUNTIF(F23:F82,"&gt;0")</f>
        <v>24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23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48</v>
      </c>
      <c r="N15" s="138" t="n">
        <f aca="false">COUNTIF(J23:J82,"=1")</f>
        <v>9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13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45.84</v>
      </c>
      <c r="C17" s="119" t="n">
        <v>36.91</v>
      </c>
      <c r="D17" s="111"/>
      <c r="E17" s="111"/>
      <c r="F17" s="143"/>
      <c r="G17" s="112" t="n">
        <f aca="false">($B17*$B$7+$C17*$C$7)/100</f>
        <v>44.5005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0.03</v>
      </c>
      <c r="D18" s="111"/>
      <c r="E18" s="147" t="s">
        <v>54</v>
      </c>
      <c r="F18" s="143"/>
      <c r="G18" s="112" t="n">
        <f aca="false">($B18*$B$7+$C18*$C$7)/100</f>
        <v>0.0045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 t="s">
        <v>55</v>
      </c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>ATTENTION : le total par grp. floristiques doit être égal</v>
      </c>
      <c r="E19" s="155" t="str">
        <f aca="false">IF(G19=F19,"","au total par grp. Fonctionnels !")</f>
        <v>au total par grp. Fonctionnels !</v>
      </c>
      <c r="F19" s="156" t="n">
        <f aca="false">SUM(F11:F15)</f>
        <v>44.4105</v>
      </c>
      <c r="G19" s="156" t="n">
        <f aca="false">SUM(G16:G18)</f>
        <v>44.505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 t="s">
        <v>56</v>
      </c>
    </row>
    <row r="20" customFormat="false" ht="12.75" hidden="false" customHeight="false" outlineLevel="0" collapsed="false">
      <c r="A20" s="164" t="s">
        <v>57</v>
      </c>
      <c r="B20" s="165" t="n">
        <f aca="false">SUM(B23:B82)</f>
        <v>45.87</v>
      </c>
      <c r="C20" s="166" t="n">
        <f aca="false">SUM(C23:C82)</f>
        <v>35.35</v>
      </c>
      <c r="D20" s="167"/>
      <c r="E20" s="168" t="s">
        <v>54</v>
      </c>
      <c r="F20" s="169" t="n">
        <f aca="false">($B20*$B$7+$C20*$C$7)/100</f>
        <v>44.292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58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59</v>
      </c>
      <c r="B21" s="179" t="n">
        <f aca="false">B20*B7/100</f>
        <v>38.9895</v>
      </c>
      <c r="C21" s="179" t="n">
        <f aca="false">C20*C7/100</f>
        <v>5.3025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44.292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60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61</v>
      </c>
      <c r="B22" s="190" t="s">
        <v>62</v>
      </c>
      <c r="C22" s="191" t="s">
        <v>62</v>
      </c>
      <c r="D22" s="140"/>
      <c r="E22" s="140"/>
      <c r="F22" s="192" t="s">
        <v>63</v>
      </c>
      <c r="G22" s="193" t="s">
        <v>64</v>
      </c>
      <c r="H22" s="140"/>
      <c r="I22" s="194" t="s">
        <v>65</v>
      </c>
      <c r="J22" s="194" t="s">
        <v>66</v>
      </c>
      <c r="K22" s="195" t="s">
        <v>67</v>
      </c>
      <c r="L22" s="195"/>
      <c r="M22" s="195"/>
      <c r="N22" s="195"/>
      <c r="O22" s="195"/>
      <c r="P22" s="196" t="s">
        <v>68</v>
      </c>
      <c r="Q22" s="197" t="s">
        <v>69</v>
      </c>
      <c r="R22" s="198" t="s">
        <v>70</v>
      </c>
      <c r="S22" s="199" t="s">
        <v>71</v>
      </c>
      <c r="T22" s="200" t="s">
        <v>72</v>
      </c>
      <c r="U22" s="201" t="s">
        <v>73</v>
      </c>
      <c r="V22" s="199" t="s">
        <v>74</v>
      </c>
      <c r="Y22" s="10" t="s">
        <v>75</v>
      </c>
      <c r="Z22" s="10" t="s">
        <v>76</v>
      </c>
      <c r="AA22" s="202" t="s">
        <v>77</v>
      </c>
      <c r="AB22" s="202" t="s">
        <v>78</v>
      </c>
      <c r="AC22" s="203" t="s">
        <v>79</v>
      </c>
    </row>
    <row r="23" customFormat="false" ht="12.75" hidden="false" customHeight="false" outlineLevel="0" collapsed="false">
      <c r="A23" s="204" t="s">
        <v>80</v>
      </c>
      <c r="B23" s="205" t="n">
        <v>0.01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Audouinella sp.</v>
      </c>
      <c r="E23" s="207" t="e">
        <f aca="false">IF(D23="",0,VLOOKUP(D23,D$22:D22,1,0))</f>
        <v>#N/A</v>
      </c>
      <c r="F23" s="208" t="n">
        <f aca="false">($B23*$B$7+$C23*$C$7)/100</f>
        <v>0.0085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13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Audouinella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6076</v>
      </c>
      <c r="Q23" s="216" t="n">
        <f aca="false">IF(ISTEXT(H23),"",(B23*$B$7/100)+(C23*$C$7/100))</f>
        <v>0.0085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13</v>
      </c>
      <c r="T23" s="217" t="n">
        <f aca="false">IF(ISERROR(R23*I23*J23),0,R23*I23*J23)</f>
        <v>26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AUDSPX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5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81</v>
      </c>
      <c r="B24" s="224" t="n">
        <v>0.01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Bangia sp.</v>
      </c>
      <c r="E24" s="226" t="e">
        <f aca="false">IF(D24="",0,VLOOKUP(D24,D$22:D23,1,0))</f>
        <v>#N/A</v>
      </c>
      <c r="F24" s="227" t="n">
        <f aca="false">($B24*$B$7+$C24*$C$7)/100</f>
        <v>0.0085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Bangia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1153</v>
      </c>
      <c r="Q24" s="216" t="n">
        <f aca="false">IF(ISTEXT(H24),"",(B24*$B$7/100)+(C24*$C$7/100))</f>
        <v>0.0085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10</v>
      </c>
      <c r="T24" s="217" t="n">
        <f aca="false">IF(ISERROR(R24*I24*J24),0,R24*I24*J24)</f>
        <v>20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BANSPX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82</v>
      </c>
      <c r="B25" s="224" t="n">
        <v>0.5</v>
      </c>
      <c r="C25" s="225" t="n">
        <v>0.3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Cladophora sp.</v>
      </c>
      <c r="E25" s="226" t="e">
        <f aca="false">IF(D25="",0,VLOOKUP(D25,D$22:D24,1,0))</f>
        <v>#N/A</v>
      </c>
      <c r="F25" s="227" t="n">
        <f aca="false">($B25*$B$7+$C25*$C$7)/100</f>
        <v>0.47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Cladophora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1124</v>
      </c>
      <c r="Q25" s="216" t="n">
        <f aca="false">IF(ISTEXT(H25),"",(B25*$B$7/100)+(C25*$C$7/100))</f>
        <v>0.47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12</v>
      </c>
      <c r="T25" s="217" t="n">
        <f aca="false">IF(ISERROR(R25*I25*J25),0,R25*I25*J25)</f>
        <v>12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CLASPX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23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83</v>
      </c>
      <c r="B26" s="224" t="n">
        <v>18.8</v>
      </c>
      <c r="C26" s="225" t="n">
        <v>27.7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Diatoma sp.</v>
      </c>
      <c r="E26" s="226" t="e">
        <f aca="false">IF(D26="",0,VLOOKUP(D26,D$22:D25,1,0))</f>
        <v>#N/A</v>
      </c>
      <c r="F26" s="227" t="n">
        <f aca="false">($B26*$B$7+$C26*$C$7)/100</f>
        <v>20.135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12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Diatoma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6627</v>
      </c>
      <c r="Q26" s="216" t="n">
        <f aca="false">IF(ISTEXT(H26),"",(B26*$B$7/100)+(C26*$C$7/100))</f>
        <v>20.135</v>
      </c>
      <c r="R26" s="217" t="n">
        <f aca="false">IF(OR(ISTEXT(H26),Q26=0),"",IF(Q26&lt;0.1,1,IF(Q26&lt;1,2,IF(Q26&lt;10,3,IF(Q26&lt;50,4,IF(Q26&gt;=50,5,""))))))</f>
        <v>4</v>
      </c>
      <c r="S26" s="217" t="n">
        <f aca="false">IF(ISERROR(R26*I26),0,R26*I26)</f>
        <v>48</v>
      </c>
      <c r="T26" s="217" t="n">
        <f aca="false">IF(ISERROR(R26*I26*J26),0,R26*I26*J26)</f>
        <v>96</v>
      </c>
      <c r="U26" s="229" t="n">
        <f aca="false">IF(ISERROR(R26*J26),0,R26*J26)</f>
        <v>8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DIASPX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26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84</v>
      </c>
      <c r="B27" s="224" t="n">
        <v>0.05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Hydrurus sp.</v>
      </c>
      <c r="E27" s="226" t="e">
        <f aca="false">IF(D27="",0,VLOOKUP(D27,D$22:D26,1,0))</f>
        <v>#N/A</v>
      </c>
      <c r="F27" s="227" t="n">
        <f aca="false">($B27*$B$7+$C27*$C$7)/100</f>
        <v>0.0425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16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Hydrurus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6183</v>
      </c>
      <c r="Q27" s="216" t="n">
        <f aca="false">IF(ISTEXT(H27),"",(B27*$B$7/100)+(C27*$C$7/100))</f>
        <v>0.0425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16</v>
      </c>
      <c r="T27" s="217" t="n">
        <f aca="false">IF(ISERROR(R27*I27*J27),0,R27*I27*J27)</f>
        <v>32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HYUSPX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33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85</v>
      </c>
      <c r="B28" s="224" t="n">
        <v>0.01</v>
      </c>
      <c r="C28" s="225" t="n">
        <v>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Lemanea sp.</v>
      </c>
      <c r="E28" s="226" t="e">
        <f aca="false">IF(D28="",0,VLOOKUP(D28,D$22:D27,1,0))</f>
        <v>#N/A</v>
      </c>
      <c r="F28" s="227" t="n">
        <f aca="false">($B28*$B$7+$C28*$C$7)/100</f>
        <v>0.0085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15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Lemanea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1159</v>
      </c>
      <c r="Q28" s="216" t="n">
        <f aca="false">IF(ISTEXT(H28),"",(B28*$B$7/100)+(C28*$C$7/100))</f>
        <v>0.0085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15</v>
      </c>
      <c r="T28" s="217" t="n">
        <f aca="false">IF(ISERROR(R28*I28*J28),0,R28*I28*J28)</f>
        <v>30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LEASPX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34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86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Microspora sp.</v>
      </c>
      <c r="E29" s="226" t="e">
        <f aca="false">IF(D29="",0,VLOOKUP(D29,D$22:D28,1,0))</f>
        <v>#N/A</v>
      </c>
      <c r="F29" s="227" t="n">
        <f aca="false">($B29*$B$7+$C29*$C$7)/100</f>
        <v>0.0015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12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Microspora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1132</v>
      </c>
      <c r="Q29" s="216" t="n">
        <f aca="false">IF(ISTEXT(H29),"",(B29*$B$7/100)+(C29*$C$7/100))</f>
        <v>0.0015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12</v>
      </c>
      <c r="T29" s="217" t="n">
        <f aca="false">IF(ISERROR(R29*I29*J29),0,R29*I29*J29)</f>
        <v>24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MICSPX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41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87</v>
      </c>
      <c r="B30" s="224" t="n">
        <v>0.01</v>
      </c>
      <c r="C30" s="225" t="n">
        <v>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Nostoc sp.</v>
      </c>
      <c r="E30" s="226" t="e">
        <f aca="false">IF(D30="",0,VLOOKUP(D30,D$22:D29,1,0))</f>
        <v>#N/A</v>
      </c>
      <c r="F30" s="227" t="n">
        <f aca="false">($B30*$B$7+$C30*$C$7)/100</f>
        <v>0.0085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9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Nostoc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1105</v>
      </c>
      <c r="Q30" s="216" t="n">
        <f aca="false">IF(ISTEXT(H30),"",(B30*$B$7/100)+(C30*$C$7/100))</f>
        <v>0.0085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9</v>
      </c>
      <c r="T30" s="217" t="n">
        <f aca="false">IF(ISERROR(R30*I30*J30),0,R30*I30*J30)</f>
        <v>9</v>
      </c>
      <c r="U30" s="229" t="n">
        <f aca="false">IF(ISERROR(R30*J30),0,R30*J30)</f>
        <v>1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NOSSPX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54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88</v>
      </c>
      <c r="B31" s="224" t="n">
        <v>0.01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Phormidium sp.</v>
      </c>
      <c r="E31" s="226" t="e">
        <f aca="false">IF(D31="",0,VLOOKUP(D31,D$22:D30,1,0))</f>
        <v>#N/A</v>
      </c>
      <c r="F31" s="227" t="n">
        <f aca="false">($B31*$B$7+$C31*$C$7)/100</f>
        <v>0.0085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13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Phormidium sp.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6414</v>
      </c>
      <c r="Q31" s="216" t="n">
        <f aca="false">IF(ISTEXT(H31),"",(B31*$B$7/100)+(C31*$C$7/100))</f>
        <v>0.0085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13</v>
      </c>
      <c r="T31" s="217" t="n">
        <f aca="false">IF(ISERROR(R31*I31*J31),0,R31*I31*J31)</f>
        <v>26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PHOSPX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57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89</v>
      </c>
      <c r="B32" s="224" t="n">
        <v>0.01</v>
      </c>
      <c r="C32" s="225" t="n">
        <v>0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Tetraspora sp.</v>
      </c>
      <c r="E32" s="226" t="e">
        <f aca="false">IF(D32="",0,VLOOKUP(D32,D$22:D31,1,0))</f>
        <v>#N/A</v>
      </c>
      <c r="F32" s="227" t="n">
        <f aca="false">($B32*$B$7+$C32*$C$7)/100</f>
        <v>0.0085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ALG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2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12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Tetraspora sp.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1138</v>
      </c>
      <c r="Q32" s="216" t="n">
        <f aca="false">IF(ISTEXT(H32),"",(B32*$B$7/100)+(C32*$C$7/100))</f>
        <v>0.0085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12</v>
      </c>
      <c r="T32" s="217" t="n">
        <f aca="false">IF(ISERROR(R32*I32*J32),0,R32*I32*J32)</f>
        <v>12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TETSPX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73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90</v>
      </c>
      <c r="B33" s="224" t="n">
        <v>0.2</v>
      </c>
      <c r="C33" s="225" t="n">
        <v>0.3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Ulothrix sp.</v>
      </c>
      <c r="E33" s="226" t="e">
        <f aca="false">IF(D33="",0,VLOOKUP(D33,D$22:D32,1,0))</f>
        <v>#N/A</v>
      </c>
      <c r="F33" s="227" t="n">
        <f aca="false">($B33*$B$7+$C33*$C$7)/100</f>
        <v>0.215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ALG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2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10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Ulothrix sp.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1142</v>
      </c>
      <c r="Q33" s="216" t="n">
        <f aca="false">IF(ISTEXT(H33),"",(B33*$B$7/100)+(C33*$C$7/100))</f>
        <v>0.215</v>
      </c>
      <c r="R33" s="217" t="n">
        <f aca="false">IF(OR(ISTEXT(H33),Q33=0),"",IF(Q33&lt;0.1,1,IF(Q33&lt;1,2,IF(Q33&lt;10,3,IF(Q33&lt;50,4,IF(Q33&gt;=50,5,""))))))</f>
        <v>2</v>
      </c>
      <c r="S33" s="217" t="n">
        <f aca="false">IF(ISERROR(R33*I33),0,R33*I33)</f>
        <v>20</v>
      </c>
      <c r="T33" s="217" t="n">
        <f aca="false">IF(ISERROR(R33*I33*J33),0,R33*I33*J33)</f>
        <v>20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ULOSPX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81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91</v>
      </c>
      <c r="B34" s="224" t="n">
        <v>0.01</v>
      </c>
      <c r="C34" s="225" t="n">
        <v>0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Vaucheria sp.</v>
      </c>
      <c r="E34" s="226" t="e">
        <f aca="false">IF(D34="",0,VLOOKUP(D34,D$22:D33,1,0))</f>
        <v>#N/A</v>
      </c>
      <c r="F34" s="231" t="n">
        <f aca="false">($B34*$B$7+$C34*$C$7)/100</f>
        <v>0.0085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ALG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2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4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Vaucheria sp.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6193</v>
      </c>
      <c r="Q34" s="216" t="n">
        <f aca="false">IF(ISTEXT(H34),"",(B34*$B$7/100)+(C34*$C$7/100))</f>
        <v>0.0085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4</v>
      </c>
      <c r="T34" s="217" t="n">
        <f aca="false">IF(ISERROR(R34*I34*J34),0,R34*I34*J34)</f>
        <v>4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VAUSPX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82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92</v>
      </c>
      <c r="B35" s="224" t="n">
        <v>4</v>
      </c>
      <c r="C35" s="225" t="n">
        <v>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Pellia endiviifolia</v>
      </c>
      <c r="E35" s="226" t="e">
        <f aca="false">IF(D35="",0,VLOOKUP(D35,D$22:D34,1,0))</f>
        <v>#N/A</v>
      </c>
      <c r="F35" s="231" t="n">
        <f aca="false">($B35*$B$7+$C35*$C$7)/100</f>
        <v>3.55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BRh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4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Pellia endiviifolia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1197</v>
      </c>
      <c r="Q35" s="216" t="n">
        <f aca="false">IF(ISTEXT(H35),"",(B35*$B$7/100)+(C35*$C$7/100))</f>
        <v>3.55</v>
      </c>
      <c r="R35" s="217" t="n">
        <f aca="false">IF(OR(ISTEXT(H35),Q35=0),"",IF(Q35&lt;0.1,1,IF(Q35&lt;1,2,IF(Q35&lt;10,3,IF(Q35&lt;50,4,IF(Q35&gt;=50,5,""))))))</f>
        <v>3</v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PELEND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120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93</v>
      </c>
      <c r="B36" s="224" t="n">
        <v>1</v>
      </c>
      <c r="C36" s="225" t="n">
        <v>0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Cinclidotus aquaticus</v>
      </c>
      <c r="E36" s="226" t="e">
        <f aca="false">IF(D36="",0,VLOOKUP(D36,D$22:D35,1,0))</f>
        <v>#N/A</v>
      </c>
      <c r="F36" s="231" t="n">
        <f aca="false">($B36*$B$7+$C36*$C$7)/100</f>
        <v>0.85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BRm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5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15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Cinclidotus aquaticus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1318</v>
      </c>
      <c r="Q36" s="216" t="n">
        <f aca="false">IF(ISTEXT(H36),"",(B36*$B$7/100)+(C36*$C$7/100))</f>
        <v>0.85</v>
      </c>
      <c r="R36" s="217" t="n">
        <f aca="false">IF(OR(ISTEXT(H36),Q36=0),"",IF(Q36&lt;0.1,1,IF(Q36&lt;1,2,IF(Q36&lt;10,3,IF(Q36&lt;50,4,IF(Q36&gt;=50,5,""))))))</f>
        <v>2</v>
      </c>
      <c r="S36" s="217" t="n">
        <f aca="false">IF(ISERROR(R36*I36),0,R36*I36)</f>
        <v>30</v>
      </c>
      <c r="T36" s="217" t="n">
        <f aca="false">IF(ISERROR(R36*I36*J36),0,R36*I36*J36)</f>
        <v>60</v>
      </c>
      <c r="U36" s="229" t="n">
        <f aca="false">IF(ISERROR(R36*J36),0,R36*J36)</f>
        <v>4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CINAQU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170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94</v>
      </c>
      <c r="B37" s="224" t="n">
        <v>0</v>
      </c>
      <c r="C37" s="225" t="n">
        <v>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Cinclidotus fontinaloides</v>
      </c>
      <c r="E37" s="226" t="e">
        <f aca="false">IF(D37="",0,VLOOKUP(D37,D$22:D36,1,0))</f>
        <v>#N/A</v>
      </c>
      <c r="F37" s="231" t="n">
        <f aca="false">($B37*$B$7+$C37*$C$7)/100</f>
        <v>0.15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BRm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5</v>
      </c>
      <c r="I37" s="211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12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2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Cinclidotus fontinaloides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1320</v>
      </c>
      <c r="Q37" s="216" t="n">
        <f aca="false">IF(ISTEXT(H37),"",(B37*$B$7/100)+(C37*$C$7/100))</f>
        <v>0.15</v>
      </c>
      <c r="R37" s="217" t="n">
        <f aca="false">IF(OR(ISTEXT(H37),Q37=0),"",IF(Q37&lt;0.1,1,IF(Q37&lt;1,2,IF(Q37&lt;10,3,IF(Q37&lt;50,4,IF(Q37&gt;=50,5,""))))))</f>
        <v>2</v>
      </c>
      <c r="S37" s="217" t="n">
        <f aca="false">IF(ISERROR(R37*I37),0,R37*I37)</f>
        <v>24</v>
      </c>
      <c r="T37" s="217" t="n">
        <f aca="false">IF(ISERROR(R37*I37*J37),0,R37*I37*J37)</f>
        <v>48</v>
      </c>
      <c r="U37" s="229" t="n">
        <f aca="false">IF(ISERROR(R37*J37),0,R37*J37)</f>
        <v>4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CINFON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172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16</v>
      </c>
      <c r="B38" s="224" t="n">
        <v>12</v>
      </c>
      <c r="C38" s="225" t="n">
        <v>0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Cinclidotus riparius</v>
      </c>
      <c r="E38" s="226" t="e">
        <f aca="false">IF(D38="",0,VLOOKUP(D38,D$22:D37,1,0))</f>
        <v>#N/A</v>
      </c>
      <c r="F38" s="231" t="n">
        <f aca="false">($B38*$B$7+$C38*$C$7)/100</f>
        <v>10.2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BRm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5</v>
      </c>
      <c r="I38" s="211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13</v>
      </c>
      <c r="J38" s="211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2</v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Cinclidotus riparius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1321</v>
      </c>
      <c r="Q38" s="216" t="n">
        <f aca="false">IF(ISTEXT(H38),"",(B38*$B$7/100)+(C38*$C$7/100))</f>
        <v>10.2</v>
      </c>
      <c r="R38" s="217" t="n">
        <f aca="false">IF(OR(ISTEXT(H38),Q38=0),"",IF(Q38&lt;0.1,1,IF(Q38&lt;1,2,IF(Q38&lt;10,3,IF(Q38&lt;50,4,IF(Q38&gt;=50,5,""))))))</f>
        <v>4</v>
      </c>
      <c r="S38" s="217" t="n">
        <f aca="false">IF(ISERROR(R38*I38),0,R38*I38)</f>
        <v>52</v>
      </c>
      <c r="T38" s="217" t="n">
        <f aca="false">IF(ISERROR(R38*I38*J38),0,R38*I38*J38)</f>
        <v>104</v>
      </c>
      <c r="U38" s="229" t="n">
        <f aca="false">IF(ISERROR(R38*J38),0,R38*J38)</f>
        <v>8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CINRIP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174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95</v>
      </c>
      <c r="B39" s="224" t="n">
        <v>4</v>
      </c>
      <c r="C39" s="225" t="n">
        <v>4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Cratoneuron commutatum</v>
      </c>
      <c r="E39" s="226" t="e">
        <f aca="false">IF(D39="",0,VLOOKUP(D39,D$22:D38,1,0))</f>
        <v>#N/A</v>
      </c>
      <c r="F39" s="231" t="n">
        <f aca="false">($B39*$B$7+$C39*$C$7)/100</f>
        <v>4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BRm</v>
      </c>
      <c r="H39" s="210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5</v>
      </c>
      <c r="I39" s="211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15</v>
      </c>
      <c r="J39" s="211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2</v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Cratoneuron commutatum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1232</v>
      </c>
      <c r="Q39" s="216" t="n">
        <f aca="false">IF(ISTEXT(H39),"",(B39*$B$7/100)+(C39*$C$7/100))</f>
        <v>4</v>
      </c>
      <c r="R39" s="217" t="n">
        <f aca="false">IF(OR(ISTEXT(H39),Q39=0),"",IF(Q39&lt;0.1,1,IF(Q39&lt;1,2,IF(Q39&lt;10,3,IF(Q39&lt;50,4,IF(Q39&gt;=50,5,""))))))</f>
        <v>3</v>
      </c>
      <c r="S39" s="217" t="n">
        <f aca="false">IF(ISERROR(R39*I39),0,R39*I39)</f>
        <v>45</v>
      </c>
      <c r="T39" s="217" t="n">
        <f aca="false">IF(ISERROR(R39*I39*J39),0,R39*I39*J39)</f>
        <v>90</v>
      </c>
      <c r="U39" s="229" t="n">
        <f aca="false">IF(ISERROR(R39*J39),0,R39*J39)</f>
        <v>6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CRACOM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177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96</v>
      </c>
      <c r="B40" s="224" t="n">
        <v>1</v>
      </c>
      <c r="C40" s="225" t="n">
        <v>0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Cratoneuron filicinum</v>
      </c>
      <c r="E40" s="226" t="e">
        <f aca="false">IF(D40="",0,VLOOKUP(D40,D$22:D39,1,0))</f>
        <v>#N/A</v>
      </c>
      <c r="F40" s="231" t="n">
        <f aca="false">($B40*$B$7+$C40*$C$7)/100</f>
        <v>0.85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BRm</v>
      </c>
      <c r="H40" s="210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5</v>
      </c>
      <c r="I40" s="211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18</v>
      </c>
      <c r="J40" s="211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3</v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Cratoneuron filicinum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1233</v>
      </c>
      <c r="Q40" s="216" t="n">
        <f aca="false">IF(ISTEXT(H40),"",(B40*$B$7/100)+(C40*$C$7/100))</f>
        <v>0.85</v>
      </c>
      <c r="R40" s="217" t="n">
        <f aca="false">IF(OR(ISTEXT(H40),Q40=0),"",IF(Q40&lt;0.1,1,IF(Q40&lt;1,2,IF(Q40&lt;10,3,IF(Q40&lt;50,4,IF(Q40&gt;=50,5,""))))))</f>
        <v>2</v>
      </c>
      <c r="S40" s="217" t="n">
        <f aca="false">IF(ISERROR(R40*I40),0,R40*I40)</f>
        <v>36</v>
      </c>
      <c r="T40" s="217" t="n">
        <f aca="false">IF(ISERROR(R40*I40*J40),0,R40*I40*J40)</f>
        <v>108</v>
      </c>
      <c r="U40" s="229" t="n">
        <f aca="false">IF(ISERROR(R40*J40),0,R40*J40)</f>
        <v>6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CRAFIL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178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97</v>
      </c>
      <c r="B41" s="224" t="n">
        <v>0.05</v>
      </c>
      <c r="C41" s="225" t="n">
        <v>0</v>
      </c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Fissidens crassipes</v>
      </c>
      <c r="E41" s="226" t="e">
        <f aca="false">IF(D41="",0,VLOOKUP(D41,D$22:D40,1,0))</f>
        <v>#N/A</v>
      </c>
      <c r="F41" s="231" t="n">
        <f aca="false">($B41*$B$7+$C41*$C$7)/100</f>
        <v>0.0425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BRm</v>
      </c>
      <c r="H41" s="210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5</v>
      </c>
      <c r="I41" s="211" t="n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>12</v>
      </c>
      <c r="J41" s="211" t="n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>2</v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Fissidens crassipes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1294</v>
      </c>
      <c r="Q41" s="216" t="n">
        <f aca="false">IF(ISTEXT(H41),"",(B41*$B$7/100)+(C41*$C$7/100))</f>
        <v>0.0425</v>
      </c>
      <c r="R41" s="217" t="n">
        <f aca="false">IF(OR(ISTEXT(H41),Q41=0),"",IF(Q41&lt;0.1,1,IF(Q41&lt;1,2,IF(Q41&lt;10,3,IF(Q41&lt;50,4,IF(Q41&gt;=50,5,""))))))</f>
        <v>1</v>
      </c>
      <c r="S41" s="217" t="n">
        <f aca="false">IF(ISERROR(R41*I41),0,R41*I41)</f>
        <v>12</v>
      </c>
      <c r="T41" s="217" t="n">
        <f aca="false">IF(ISERROR(R41*I41*J41),0,R41*I41*J41)</f>
        <v>24</v>
      </c>
      <c r="U41" s="229" t="n">
        <f aca="false">IF(ISERROR(R41*J41),0,R41*J41)</f>
        <v>2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>FISCRA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197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98</v>
      </c>
      <c r="B42" s="224" t="n">
        <v>0.1</v>
      </c>
      <c r="C42" s="225" t="n">
        <v>0.01</v>
      </c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Fontinalis antipyretica</v>
      </c>
      <c r="E42" s="226" t="e">
        <f aca="false">IF(D42="",0,VLOOKUP(D42,D$22:D41,1,0))</f>
        <v>#N/A</v>
      </c>
      <c r="F42" s="231" t="n">
        <f aca="false">($B42*$B$7+$C42*$C$7)/100</f>
        <v>0.0865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BRm</v>
      </c>
      <c r="H42" s="210" t="n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5</v>
      </c>
      <c r="I42" s="211" t="n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>10</v>
      </c>
      <c r="J42" s="211" t="n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>1</v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Fontinalis antipyretica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1310</v>
      </c>
      <c r="Q42" s="216" t="n">
        <f aca="false">IF(ISTEXT(H42),"",(B42*$B$7/100)+(C42*$C$7/100))</f>
        <v>0.0865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10</v>
      </c>
      <c r="T42" s="217" t="n">
        <f aca="false">IF(ISERROR(R42*I42*J42),0,R42*I42*J42)</f>
        <v>10</v>
      </c>
      <c r="U42" s="229" t="n">
        <f aca="false">IF(ISERROR(R42*J42),0,R42*J42)</f>
        <v>1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>FONANT</v>
      </c>
      <c r="Z42" s="10" t="n">
        <f aca="false">IF(ISERROR(MATCH(A42,'[1]liste reference'!$A$8:$A$904,0)),IF(ISERROR(MATCH(A42,'[1]liste reference'!$B$8:$B$904,0)),"",(MATCH(A42,'[1]liste reference'!$B$8:$B$904,0))),(MATCH(A42,'[1]liste reference'!$A$8:$A$904,0)))</f>
        <v>210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99</v>
      </c>
      <c r="B43" s="224" t="n">
        <v>4.1</v>
      </c>
      <c r="C43" s="225" t="n">
        <v>1</v>
      </c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>Rhynchostegium riparioides</v>
      </c>
      <c r="E43" s="226" t="e">
        <f aca="false">IF(D43="",0,VLOOKUP(D43,D$22:D42,1,0))</f>
        <v>#N/A</v>
      </c>
      <c r="F43" s="231" t="n">
        <f aca="false">($B43*$B$7+$C43*$C$7)/100</f>
        <v>3.635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BRm</v>
      </c>
      <c r="H43" s="210" t="n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5</v>
      </c>
      <c r="I43" s="211" t="n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>12</v>
      </c>
      <c r="J43" s="211" t="n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>1</v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Rhynchostegium riparioides</v>
      </c>
      <c r="L43" s="228"/>
      <c r="M43" s="228"/>
      <c r="N43" s="228"/>
      <c r="O43" s="214"/>
      <c r="P43" s="215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1268</v>
      </c>
      <c r="Q43" s="216" t="n">
        <f aca="false">IF(ISTEXT(H43),"",(B43*$B$7/100)+(C43*$C$7/100))</f>
        <v>3.635</v>
      </c>
      <c r="R43" s="217" t="n">
        <f aca="false">IF(OR(ISTEXT(H43),Q43=0),"",IF(Q43&lt;0.1,1,IF(Q43&lt;1,2,IF(Q43&lt;10,3,IF(Q43&lt;50,4,IF(Q43&gt;=50,5,""))))))</f>
        <v>3</v>
      </c>
      <c r="S43" s="217" t="n">
        <f aca="false">IF(ISERROR(R43*I43),0,R43*I43)</f>
        <v>36</v>
      </c>
      <c r="T43" s="217" t="n">
        <f aca="false">IF(ISERROR(R43*I43*J43),0,R43*I43*J43)</f>
        <v>36</v>
      </c>
      <c r="U43" s="229" t="n">
        <f aca="false">IF(ISERROR(R43*J43),0,R43*J43)</f>
        <v>3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>RHYRIP</v>
      </c>
      <c r="Z43" s="10" t="n">
        <f aca="false">IF(ISERROR(MATCH(A43,'[1]liste reference'!$A$8:$A$904,0)),IF(ISERROR(MATCH(A43,'[1]liste reference'!$B$8:$B$904,0)),"",(MATCH(A43,'[1]liste reference'!$B$8:$B$904,0))),(MATCH(A43,'[1]liste reference'!$A$8:$A$904,0)))</f>
        <v>252</v>
      </c>
      <c r="AA43" s="221"/>
      <c r="AB43" s="222"/>
      <c r="AC43" s="222"/>
      <c r="BB43" s="10" t="n">
        <f aca="false">IF(A43="","",1)</f>
        <v>1</v>
      </c>
    </row>
    <row r="44" customFormat="false" ht="12.75" hidden="false" customHeight="false" outlineLevel="0" collapsed="false">
      <c r="A44" s="223" t="s">
        <v>100</v>
      </c>
      <c r="B44" s="224" t="n">
        <v>0</v>
      </c>
      <c r="C44" s="225" t="n">
        <v>0.01</v>
      </c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>Agrostis stolonifera</v>
      </c>
      <c r="E44" s="226" t="e">
        <f aca="false">IF(D44="",0,VLOOKUP(D44,D$22:D43,1,0))</f>
        <v>#N/A</v>
      </c>
      <c r="F44" s="231" t="n">
        <f aca="false">($B44*$B$7+$C44*$C$7)/100</f>
        <v>0.0015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PHe</v>
      </c>
      <c r="H44" s="210" t="n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8</v>
      </c>
      <c r="I44" s="211" t="n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>10</v>
      </c>
      <c r="J44" s="211" t="n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>1</v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Agrostis stolonifera</v>
      </c>
      <c r="L44" s="228"/>
      <c r="M44" s="228"/>
      <c r="N44" s="228"/>
      <c r="O44" s="214"/>
      <c r="P44" s="215" t="n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1543</v>
      </c>
      <c r="Q44" s="216" t="n">
        <f aca="false">IF(ISTEXT(H44),"",(B44*$B$7/100)+(C44*$C$7/100))</f>
        <v>0.0015</v>
      </c>
      <c r="R44" s="217" t="n">
        <f aca="false">IF(OR(ISTEXT(H44),Q44=0),"",IF(Q44&lt;0.1,1,IF(Q44&lt;1,2,IF(Q44&lt;10,3,IF(Q44&lt;50,4,IF(Q44&gt;=50,5,""))))))</f>
        <v>1</v>
      </c>
      <c r="S44" s="217" t="n">
        <f aca="false">IF(ISERROR(R44*I44),0,R44*I44)</f>
        <v>10</v>
      </c>
      <c r="T44" s="217" t="n">
        <f aca="false">IF(ISERROR(R44*I44*J44),0,R44*I44*J44)</f>
        <v>10</v>
      </c>
      <c r="U44" s="229" t="n">
        <f aca="false">IF(ISERROR(R44*J44),0,R44*J44)</f>
        <v>1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>AGRSTO</v>
      </c>
      <c r="Z44" s="10" t="n">
        <f aca="false">IF(ISERROR(MATCH(A44,'[1]liste reference'!$A$8:$A$904,0)),IF(ISERROR(MATCH(A44,'[1]liste reference'!$B$8:$B$904,0)),"",(MATCH(A44,'[1]liste reference'!$B$8:$B$904,0))),(MATCH(A44,'[1]liste reference'!$A$8:$A$904,0)))</f>
        <v>514</v>
      </c>
      <c r="AA44" s="221"/>
      <c r="AB44" s="222"/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 t="s">
        <v>101</v>
      </c>
      <c r="B45" s="224" t="n">
        <v>0</v>
      </c>
      <c r="C45" s="225" t="n">
        <v>0.01</v>
      </c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>Phalaris arundinacea</v>
      </c>
      <c r="E45" s="226" t="e">
        <f aca="false">IF(D45="",0,VLOOKUP(D45,D$22:D44,1,0))</f>
        <v>#N/A</v>
      </c>
      <c r="F45" s="231" t="n">
        <f aca="false">($B45*$B$7+$C45*$C$7)/100</f>
        <v>0.0015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>PHe</v>
      </c>
      <c r="H45" s="210" t="n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8</v>
      </c>
      <c r="I45" s="211" t="n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>10</v>
      </c>
      <c r="J45" s="211" t="n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>1</v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>Phalaris arundinacea</v>
      </c>
      <c r="L45" s="228"/>
      <c r="M45" s="228"/>
      <c r="N45" s="228"/>
      <c r="O45" s="214"/>
      <c r="P45" s="215" t="n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>1577</v>
      </c>
      <c r="Q45" s="216" t="n">
        <f aca="false">IF(ISTEXT(H45),"",(B45*$B$7/100)+(C45*$C$7/100))</f>
        <v>0.0015</v>
      </c>
      <c r="R45" s="217" t="n">
        <f aca="false">IF(OR(ISTEXT(H45),Q45=0),"",IF(Q45&lt;0.1,1,IF(Q45&lt;1,2,IF(Q45&lt;10,3,IF(Q45&lt;50,4,IF(Q45&gt;=50,5,""))))))</f>
        <v>1</v>
      </c>
      <c r="S45" s="217" t="n">
        <f aca="false">IF(ISERROR(R45*I45),0,R45*I45)</f>
        <v>10</v>
      </c>
      <c r="T45" s="217" t="n">
        <f aca="false">IF(ISERROR(R45*I45*J45),0,R45*I45*J45)</f>
        <v>10</v>
      </c>
      <c r="U45" s="229" t="n">
        <f aca="false">IF(ISERROR(R45*J45),0,R45*J45)</f>
        <v>1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>PHAARU</v>
      </c>
      <c r="Z45" s="10" t="n">
        <f aca="false">IF(ISERROR(MATCH(A45,'[1]liste reference'!$A$8:$A$904,0)),IF(ISERROR(MATCH(A45,'[1]liste reference'!$B$8:$B$904,0)),"",(MATCH(A45,'[1]liste reference'!$B$8:$B$904,0))),(MATCH(A45,'[1]liste reference'!$A$8:$A$904,0)))</f>
        <v>634</v>
      </c>
      <c r="AA45" s="221"/>
      <c r="AB45" s="222"/>
      <c r="AC45" s="222"/>
      <c r="BB45" s="10" t="n">
        <f aca="false">IF(A45="","",1)</f>
        <v>1</v>
      </c>
    </row>
    <row r="46" customFormat="false" ht="12.75" hidden="false" customHeight="false" outlineLevel="0" collapsed="false">
      <c r="A46" s="223" t="s">
        <v>102</v>
      </c>
      <c r="B46" s="224" t="n">
        <v>0</v>
      </c>
      <c r="C46" s="225" t="n">
        <v>0.01</v>
      </c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>Scirpus sylvaticus</v>
      </c>
      <c r="E46" s="226" t="e">
        <f aca="false">IF(D46="",0,VLOOKUP(D46,D$22:D39,1,0))</f>
        <v>#N/A</v>
      </c>
      <c r="F46" s="231" t="n">
        <f aca="false">($B46*$B$7+$C46*$C$7)/100</f>
        <v>0.0015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>PHe</v>
      </c>
      <c r="H46" s="210" t="n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8</v>
      </c>
      <c r="I46" s="211" t="n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>10</v>
      </c>
      <c r="J46" s="211" t="n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>2</v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>Scirpus sylvaticus</v>
      </c>
      <c r="L46" s="228"/>
      <c r="M46" s="228"/>
      <c r="N46" s="228"/>
      <c r="O46" s="214"/>
      <c r="P46" s="215" t="n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>1525</v>
      </c>
      <c r="Q46" s="216" t="n">
        <f aca="false">IF(ISTEXT(H46),"",(B46*$B$7/100)+(C46*$C$7/100))</f>
        <v>0.0015</v>
      </c>
      <c r="R46" s="217" t="n">
        <f aca="false">IF(OR(ISTEXT(H46),Q46=0),"",IF(Q46&lt;0.1,1,IF(Q46&lt;1,2,IF(Q46&lt;10,3,IF(Q46&lt;50,4,IF(Q46&gt;=50,5,""))))))</f>
        <v>1</v>
      </c>
      <c r="S46" s="217" t="n">
        <f aca="false">IF(ISERROR(R46*I46),0,R46*I46)</f>
        <v>10</v>
      </c>
      <c r="T46" s="217" t="n">
        <f aca="false">IF(ISERROR(R46*I46*J46),0,R46*I46*J46)</f>
        <v>20</v>
      </c>
      <c r="U46" s="229" t="n">
        <f aca="false">IF(ISERROR(R46*J46),0,R46*J46)</f>
        <v>2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>SCISYL</v>
      </c>
      <c r="Z46" s="10" t="n">
        <f aca="false">IF(ISERROR(MATCH(A46,'[1]liste reference'!$A$8:$A$904,0)),IF(ISERROR(MATCH(A46,'[1]liste reference'!$B$8:$B$904,0)),"",(MATCH(A46,'[1]liste reference'!$B$8:$B$904,0))),(MATCH(A46,'[1]liste reference'!$A$8:$A$904,0)))</f>
        <v>665</v>
      </c>
      <c r="AA46" s="221"/>
      <c r="AB46" s="222"/>
      <c r="AC46" s="222"/>
      <c r="BB46" s="10" t="n">
        <f aca="false">IF(A46="","",1)</f>
        <v>1</v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103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Eau Morte</v>
      </c>
      <c r="B84" s="259" t="str">
        <f aca="false">C3</f>
        <v>Eau Morte à Doussard</v>
      </c>
      <c r="C84" s="260" t="n">
        <f aca="false">A4</f>
        <v>41466</v>
      </c>
      <c r="D84" s="261" t="n">
        <f aca="false">IF(ISERROR(SUM($T$23:$T$82)/SUM($U$23:$U$82)),"",SUM($T$23:$T$82)/SUM($U$23:$U$82))</f>
        <v>12.7846153846154</v>
      </c>
      <c r="E84" s="262" t="n">
        <f aca="false">N13</f>
        <v>24</v>
      </c>
      <c r="F84" s="259" t="n">
        <f aca="false">N14</f>
        <v>23</v>
      </c>
      <c r="G84" s="259" t="n">
        <f aca="false">N15</f>
        <v>9</v>
      </c>
      <c r="H84" s="259" t="n">
        <f aca="false">N16</f>
        <v>13</v>
      </c>
      <c r="I84" s="259" t="n">
        <f aca="false">N17</f>
        <v>1</v>
      </c>
      <c r="J84" s="263" t="n">
        <f aca="false">N8</f>
        <v>11.695652173913</v>
      </c>
      <c r="K84" s="261" t="n">
        <f aca="false">N9</f>
        <v>3.04223577122364</v>
      </c>
      <c r="L84" s="262" t="n">
        <f aca="false">N10</f>
        <v>4</v>
      </c>
      <c r="M84" s="262" t="n">
        <f aca="false">N11</f>
        <v>18</v>
      </c>
      <c r="N84" s="261" t="n">
        <f aca="false">O8</f>
        <v>1.65217391304348</v>
      </c>
      <c r="O84" s="261" t="n">
        <f aca="false">O9</f>
        <v>0.560178205509788</v>
      </c>
      <c r="P84" s="262" t="n">
        <f aca="false">O10</f>
        <v>1</v>
      </c>
      <c r="Q84" s="262" t="n">
        <f aca="false">O11</f>
        <v>3</v>
      </c>
      <c r="R84" s="262" t="n">
        <f aca="false">F21</f>
        <v>44.292</v>
      </c>
      <c r="S84" s="262" t="n">
        <f aca="false">K11</f>
        <v>0</v>
      </c>
      <c r="T84" s="262" t="n">
        <f aca="false">K12</f>
        <v>12</v>
      </c>
      <c r="U84" s="262" t="n">
        <f aca="false">K13</f>
        <v>9</v>
      </c>
      <c r="V84" s="264" t="n">
        <f aca="false">K14</f>
        <v>0</v>
      </c>
      <c r="W84" s="265" t="n">
        <f aca="false">K15</f>
        <v>3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104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105</v>
      </c>
      <c r="R87" s="10"/>
      <c r="S87" s="218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106</v>
      </c>
      <c r="R88" s="10"/>
      <c r="S88" s="218" t="n">
        <f aca="false">VLOOKUP((S87),($S$23:$U$82),2,0)</f>
        <v>104</v>
      </c>
      <c r="T88" s="10"/>
      <c r="U88" s="10"/>
      <c r="V88" s="10"/>
    </row>
    <row r="89" customFormat="false" ht="12.75" hidden="true" customHeight="false" outlineLevel="0" collapsed="false">
      <c r="Q89" s="10" t="s">
        <v>107</v>
      </c>
      <c r="R89" s="10"/>
      <c r="S89" s="218" t="n">
        <f aca="false">VLOOKUP((S87),($S$23:$U$82),3,0)</f>
        <v>8</v>
      </c>
      <c r="T89" s="10"/>
    </row>
    <row r="90" customFormat="false" ht="12.75" hidden="false" customHeight="false" outlineLevel="0" collapsed="false">
      <c r="Q90" s="10" t="s">
        <v>108</v>
      </c>
      <c r="R90" s="10"/>
      <c r="S90" s="268" t="n">
        <f aca="false">IF(ISERROR(SUM($T$23:$T$82)/SUM($U$23:$U$82)),"",(SUM($T$23:$T$82)-S88)/(SUM($U$23:$U$82)-S89))</f>
        <v>12.7543859649123</v>
      </c>
      <c r="T90" s="10"/>
    </row>
    <row r="91" customFormat="false" ht="12.75" hidden="false" customHeight="false" outlineLevel="0" collapsed="false">
      <c r="Q91" s="217" t="s">
        <v>109</v>
      </c>
      <c r="R91" s="217"/>
      <c r="S91" s="217" t="str">
        <f aca="false">INDEX('[1]liste reference'!$A$8:$A$904,$T$91)</f>
        <v>CINRIP</v>
      </c>
      <c r="T91" s="10" t="n">
        <f aca="false">IF(ISERROR(MATCH($S$93,'[1]liste reference'!$A$8:$A$904,0)),MATCH($S$93,'[1]liste reference'!$B$8:$B$904,0),(MATCH($S$93,'[1]liste reference'!$A$8:$A$904,0)))</f>
        <v>174</v>
      </c>
      <c r="U91" s="257"/>
    </row>
    <row r="92" customFormat="false" ht="12.75" hidden="false" customHeight="false" outlineLevel="0" collapsed="false">
      <c r="Q92" s="10" t="s">
        <v>110</v>
      </c>
      <c r="R92" s="10"/>
      <c r="S92" s="10" t="n">
        <f aca="false">MATCH(S87,$S$23:$S$82,0)</f>
        <v>16</v>
      </c>
      <c r="T92" s="10"/>
    </row>
    <row r="93" customFormat="false" ht="12.75" hidden="false" customHeight="false" outlineLevel="0" collapsed="false">
      <c r="Q93" s="217" t="s">
        <v>111</v>
      </c>
      <c r="R93" s="10"/>
      <c r="S93" s="217" t="str">
        <f aca="false">INDEX($A$23:$A$82,$S$92)</f>
        <v>CINRIP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2013-11-26T09:50:17Z</dcterms:created>
  <dc:creator>Laurent Bourgoin</dc:creator>
  <dc:description/>
  <dc:language>fr-FR</dc:language>
  <cp:lastModifiedBy>Laurent Bourgoin</cp:lastModifiedBy>
  <dcterms:modified xsi:type="dcterms:W3CDTF">2013-11-26T09:55:31Z</dcterms:modified>
  <cp:revision>0</cp:revision>
  <dc:subject/>
  <dc:title/>
</cp:coreProperties>
</file>